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885" yWindow="300" windowWidth="18195" windowHeight="11640"/>
  </bookViews>
  <sheets>
    <sheet name="Рачун финансирања" sheetId="16" r:id="rId1"/>
    <sheet name="Приџ,прим vs Расх,изд" sheetId="1" state="hidden" r:id="rId2"/>
    <sheet name="Општи део - (6)" sheetId="3" r:id="rId3"/>
    <sheet name="Капитални расходи" sheetId="4" r:id="rId4"/>
    <sheet name="По основ. нам." sheetId="5" r:id="rId5"/>
    <sheet name="Програмска" sheetId="7" r:id="rId6"/>
    <sheet name="Расх по функц. " sheetId="6" r:id="rId7"/>
    <sheet name="ПО КОРИСНИЦИМА" sheetId="8" r:id="rId8"/>
    <sheet name="Klasifikacije" sheetId="17" r:id="rId9"/>
    <sheet name="Sheet1" sheetId="18" r:id="rId10"/>
  </sheets>
  <definedNames>
    <definedName name="_xlnm._FilterDatabase" localSheetId="8" hidden="1">Klasifikacije!$L$2:$M$4732</definedName>
    <definedName name="_xlnm._FilterDatabase" localSheetId="9" hidden="1">Sheet1!$D$1:$D$258</definedName>
    <definedName name="_xlnm._FilterDatabase" localSheetId="7" hidden="1">'ПО КОРИСНИЦИМА'!$F$1:$F$544</definedName>
    <definedName name="ljkl">'Расх по функц. '!$F$86</definedName>
    <definedName name="Ukupno_funkcionalna">'Расх по функц. '!$F$86</definedName>
    <definedName name="Ukupno_izdaci">'По основ. нам.'!$F$86</definedName>
  </definedNames>
  <calcPr calcId="124519"/>
</workbook>
</file>

<file path=xl/calcChain.xml><?xml version="1.0" encoding="utf-8"?>
<calcChain xmlns="http://schemas.openxmlformats.org/spreadsheetml/2006/main">
  <c r="D255" i="18"/>
  <c r="D258" s="1"/>
  <c r="I194"/>
  <c r="I193"/>
  <c r="D6" i="4"/>
  <c r="F6"/>
  <c r="G6"/>
  <c r="F52"/>
  <c r="G52"/>
  <c r="H50"/>
  <c r="E48"/>
  <c r="F45"/>
  <c r="G45"/>
  <c r="E45"/>
  <c r="J333" i="8"/>
  <c r="J133"/>
  <c r="J187" l="1"/>
  <c r="I337"/>
  <c r="H337"/>
  <c r="J332"/>
  <c r="J296"/>
  <c r="I300"/>
  <c r="H300"/>
  <c r="I84"/>
  <c r="H84"/>
  <c r="J74" l="1"/>
  <c r="I371"/>
  <c r="E86" i="4" l="1"/>
  <c r="H81"/>
  <c r="H80"/>
  <c r="E78"/>
  <c r="H73"/>
  <c r="F71"/>
  <c r="G71"/>
  <c r="E71"/>
  <c r="H74"/>
  <c r="D71"/>
  <c r="H62"/>
  <c r="E60"/>
  <c r="H47"/>
  <c r="H45" s="1"/>
  <c r="E22"/>
  <c r="F22"/>
  <c r="D22"/>
  <c r="H24"/>
  <c r="G22"/>
  <c r="H13"/>
  <c r="G11"/>
  <c r="F11"/>
  <c r="E11"/>
  <c r="E7"/>
  <c r="H9"/>
  <c r="H7" s="1"/>
  <c r="H10"/>
  <c r="G7"/>
  <c r="F7"/>
  <c r="H22" l="1"/>
  <c r="H71"/>
  <c r="H11"/>
  <c r="J531" i="8"/>
  <c r="J532"/>
  <c r="J533"/>
  <c r="J534"/>
  <c r="J535"/>
  <c r="J536"/>
  <c r="J537"/>
  <c r="J538"/>
  <c r="J539"/>
  <c r="J530"/>
  <c r="J527"/>
  <c r="I256" i="18"/>
  <c r="E190"/>
  <c r="F190"/>
  <c r="G190"/>
  <c r="H190"/>
  <c r="E253"/>
  <c r="F253"/>
  <c r="G253"/>
  <c r="H253"/>
  <c r="H180" i="8"/>
  <c r="I180"/>
  <c r="D114" i="7"/>
  <c r="F114"/>
  <c r="D331"/>
  <c r="F331"/>
  <c r="D300"/>
  <c r="F300"/>
  <c r="C85" i="5"/>
  <c r="C84" s="1"/>
  <c r="I11" i="16" s="1"/>
  <c r="I414" i="8"/>
  <c r="J82"/>
  <c r="I292"/>
  <c r="H292"/>
  <c r="J81"/>
  <c r="J83"/>
  <c r="J79"/>
  <c r="J12"/>
  <c r="H371"/>
  <c r="J370"/>
  <c r="J369"/>
  <c r="J291"/>
  <c r="I149"/>
  <c r="H149"/>
  <c r="J148"/>
  <c r="J149" s="1"/>
  <c r="I270"/>
  <c r="H270"/>
  <c r="J269"/>
  <c r="J270" s="1"/>
  <c r="I366"/>
  <c r="H366"/>
  <c r="J365"/>
  <c r="J364"/>
  <c r="H285"/>
  <c r="I285"/>
  <c r="J284"/>
  <c r="J467"/>
  <c r="J299"/>
  <c r="J58"/>
  <c r="J57"/>
  <c r="J43"/>
  <c r="J44"/>
  <c r="H84" i="4"/>
  <c r="E52"/>
  <c r="E6" s="1"/>
  <c r="H54"/>
  <c r="H52" s="1"/>
  <c r="H17"/>
  <c r="D82" i="3"/>
  <c r="H6" i="4" l="1"/>
  <c r="E255" i="18"/>
  <c r="E257" s="1"/>
  <c r="J84" i="8"/>
  <c r="G255" i="18"/>
  <c r="G257" s="1"/>
  <c r="D257"/>
  <c r="F255"/>
  <c r="F257" s="1"/>
  <c r="H255"/>
  <c r="H257" s="1"/>
  <c r="G114" i="7"/>
  <c r="G300"/>
  <c r="G331"/>
  <c r="J371" i="8"/>
  <c r="J366"/>
  <c r="E64" i="4"/>
  <c r="H88"/>
  <c r="H89"/>
  <c r="H92"/>
  <c r="D75"/>
  <c r="D68"/>
  <c r="D64"/>
  <c r="D60"/>
  <c r="D55"/>
  <c r="E55"/>
  <c r="E82"/>
  <c r="I255" i="18" l="1"/>
  <c r="G82" i="4"/>
  <c r="F82"/>
  <c r="D82"/>
  <c r="H77"/>
  <c r="E75"/>
  <c r="E68"/>
  <c r="H70"/>
  <c r="H67"/>
  <c r="H66"/>
  <c r="H63"/>
  <c r="H59"/>
  <c r="G78" l="1"/>
  <c r="G75" s="1"/>
  <c r="G68" s="1"/>
  <c r="G64" s="1"/>
  <c r="G60" s="1"/>
  <c r="F78"/>
  <c r="F75" s="1"/>
  <c r="H82"/>
  <c r="H58"/>
  <c r="H57"/>
  <c r="H51"/>
  <c r="H44"/>
  <c r="H43"/>
  <c r="H42"/>
  <c r="D40"/>
  <c r="H39"/>
  <c r="H36"/>
  <c r="H33"/>
  <c r="H30"/>
  <c r="H27"/>
  <c r="D25"/>
  <c r="H21"/>
  <c r="D19"/>
  <c r="H18"/>
  <c r="H16"/>
  <c r="D14"/>
  <c r="H64" l="1"/>
  <c r="H75"/>
  <c r="H68"/>
  <c r="H78"/>
  <c r="E90"/>
  <c r="H90" s="1"/>
  <c r="H86"/>
  <c r="E85" l="1"/>
  <c r="J67" i="8"/>
  <c r="J66"/>
  <c r="I70"/>
  <c r="H70"/>
  <c r="H93"/>
  <c r="H60" i="4" l="1"/>
  <c r="H85"/>
  <c r="I230" i="8"/>
  <c r="H230"/>
  <c r="D130" i="7"/>
  <c r="F130"/>
  <c r="D131"/>
  <c r="F131"/>
  <c r="C130"/>
  <c r="C131"/>
  <c r="I224" i="8"/>
  <c r="H224"/>
  <c r="J223"/>
  <c r="J222"/>
  <c r="I218"/>
  <c r="H218"/>
  <c r="J217"/>
  <c r="J216"/>
  <c r="I212"/>
  <c r="H212"/>
  <c r="J211"/>
  <c r="J210"/>
  <c r="I206"/>
  <c r="H206"/>
  <c r="J205"/>
  <c r="J204"/>
  <c r="I241"/>
  <c r="H241"/>
  <c r="J240"/>
  <c r="J241" s="1"/>
  <c r="I236"/>
  <c r="H236"/>
  <c r="J235"/>
  <c r="J234"/>
  <c r="I342"/>
  <c r="H342"/>
  <c r="J341"/>
  <c r="J342" s="1"/>
  <c r="J229"/>
  <c r="J228"/>
  <c r="I305"/>
  <c r="H305"/>
  <c r="J304"/>
  <c r="J303"/>
  <c r="J230" l="1"/>
  <c r="J236"/>
  <c r="J206"/>
  <c r="J212"/>
  <c r="G130" i="7"/>
  <c r="G131"/>
  <c r="J224" i="8"/>
  <c r="J218"/>
  <c r="J305"/>
  <c r="M18" i="3" l="1"/>
  <c r="G67"/>
  <c r="H75"/>
  <c r="H83" l="1"/>
  <c r="D297" i="7"/>
  <c r="F297"/>
  <c r="D127"/>
  <c r="F127"/>
  <c r="D128"/>
  <c r="D129"/>
  <c r="F129"/>
  <c r="F128"/>
  <c r="G297" l="1"/>
  <c r="G127"/>
  <c r="G129"/>
  <c r="G128"/>
  <c r="I109" i="8" l="1"/>
  <c r="H109"/>
  <c r="I328"/>
  <c r="I343" s="1"/>
  <c r="H328"/>
  <c r="I93"/>
  <c r="J91"/>
  <c r="I75"/>
  <c r="H75"/>
  <c r="J75"/>
  <c r="J108"/>
  <c r="J289"/>
  <c r="J494"/>
  <c r="J90"/>
  <c r="F339" i="7"/>
  <c r="D339"/>
  <c r="F338"/>
  <c r="D338"/>
  <c r="F337"/>
  <c r="F336" s="1"/>
  <c r="D337"/>
  <c r="J115" i="8"/>
  <c r="J116"/>
  <c r="J69"/>
  <c r="J141"/>
  <c r="G337" i="7" l="1"/>
  <c r="G338"/>
  <c r="G339"/>
  <c r="D336"/>
  <c r="J310" i="8"/>
  <c r="J198"/>
  <c r="H260"/>
  <c r="J275"/>
  <c r="J516"/>
  <c r="I519"/>
  <c r="I520" s="1"/>
  <c r="H519"/>
  <c r="H520" s="1"/>
  <c r="J518"/>
  <c r="J517"/>
  <c r="J515"/>
  <c r="J514"/>
  <c r="G336" i="7" l="1"/>
  <c r="J519" i="8"/>
  <c r="J520" s="1"/>
  <c r="I117" l="1"/>
  <c r="I118" s="1"/>
  <c r="H117"/>
  <c r="H118" s="1"/>
  <c r="J466"/>
  <c r="J465"/>
  <c r="J190"/>
  <c r="J191"/>
  <c r="J117" l="1"/>
  <c r="J118" s="1"/>
  <c r="J165"/>
  <c r="I260"/>
  <c r="J258"/>
  <c r="J325"/>
  <c r="J336"/>
  <c r="H52" i="3" l="1"/>
  <c r="H74"/>
  <c r="J13" i="8"/>
  <c r="J38"/>
  <c r="J37"/>
  <c r="I45"/>
  <c r="H45"/>
  <c r="I277"/>
  <c r="H277"/>
  <c r="J274"/>
  <c r="C44" i="5"/>
  <c r="E44"/>
  <c r="F44" l="1"/>
  <c r="F132" i="7" l="1"/>
  <c r="F133"/>
  <c r="F134"/>
  <c r="F135"/>
  <c r="F136"/>
  <c r="F137"/>
  <c r="F138"/>
  <c r="F139"/>
  <c r="F140"/>
  <c r="F141"/>
  <c r="F142"/>
  <c r="F143"/>
  <c r="F144"/>
  <c r="F145"/>
  <c r="F146"/>
  <c r="F147"/>
  <c r="D132"/>
  <c r="D133"/>
  <c r="D134"/>
  <c r="D135"/>
  <c r="D136"/>
  <c r="D137"/>
  <c r="D138"/>
  <c r="D139"/>
  <c r="D140"/>
  <c r="D141"/>
  <c r="D142"/>
  <c r="D143"/>
  <c r="D144"/>
  <c r="D145"/>
  <c r="D146"/>
  <c r="D147"/>
  <c r="I246" i="8"/>
  <c r="H246"/>
  <c r="J245"/>
  <c r="J246" s="1"/>
  <c r="G147" i="7" l="1"/>
  <c r="G145"/>
  <c r="G143"/>
  <c r="G141"/>
  <c r="G139"/>
  <c r="G137"/>
  <c r="G135"/>
  <c r="G133"/>
  <c r="G146"/>
  <c r="G144"/>
  <c r="G142"/>
  <c r="G140"/>
  <c r="G138"/>
  <c r="G136"/>
  <c r="G134"/>
  <c r="G132"/>
  <c r="H361" i="8"/>
  <c r="I59"/>
  <c r="H59"/>
  <c r="I14"/>
  <c r="I15" s="1"/>
  <c r="H444"/>
  <c r="F332" i="7"/>
  <c r="F333"/>
  <c r="F334"/>
  <c r="F335"/>
  <c r="D333"/>
  <c r="D334"/>
  <c r="D335"/>
  <c r="F329"/>
  <c r="F330"/>
  <c r="D329"/>
  <c r="D330"/>
  <c r="D340"/>
  <c r="F298"/>
  <c r="D298"/>
  <c r="F270"/>
  <c r="F271"/>
  <c r="F272"/>
  <c r="F273"/>
  <c r="D270"/>
  <c r="D271"/>
  <c r="D272"/>
  <c r="D273"/>
  <c r="F245"/>
  <c r="F246"/>
  <c r="D245"/>
  <c r="D246"/>
  <c r="F221"/>
  <c r="F222"/>
  <c r="F223"/>
  <c r="F224"/>
  <c r="D221"/>
  <c r="D222"/>
  <c r="D223"/>
  <c r="D224"/>
  <c r="F108"/>
  <c r="F109"/>
  <c r="F110"/>
  <c r="F111"/>
  <c r="F112"/>
  <c r="F113"/>
  <c r="D113"/>
  <c r="D108"/>
  <c r="D109"/>
  <c r="D110"/>
  <c r="D111"/>
  <c r="D112"/>
  <c r="F48"/>
  <c r="F49"/>
  <c r="D48"/>
  <c r="D49"/>
  <c r="F38"/>
  <c r="F39"/>
  <c r="F40"/>
  <c r="F41"/>
  <c r="F42"/>
  <c r="F43"/>
  <c r="F44"/>
  <c r="D43"/>
  <c r="D44"/>
  <c r="D38"/>
  <c r="D39"/>
  <c r="D40"/>
  <c r="D41"/>
  <c r="D42"/>
  <c r="F8"/>
  <c r="F9"/>
  <c r="D8"/>
  <c r="D9"/>
  <c r="C34" i="6"/>
  <c r="E34"/>
  <c r="C44"/>
  <c r="C43" s="1"/>
  <c r="E44"/>
  <c r="C51"/>
  <c r="C50" s="1"/>
  <c r="E51"/>
  <c r="G330" i="7" l="1"/>
  <c r="G272"/>
  <c r="G273"/>
  <c r="G271"/>
  <c r="G224"/>
  <c r="G270"/>
  <c r="G221"/>
  <c r="G39"/>
  <c r="G222"/>
  <c r="G41"/>
  <c r="G246"/>
  <c r="G298"/>
  <c r="G245"/>
  <c r="G49"/>
  <c r="G9"/>
  <c r="G48"/>
  <c r="G223"/>
  <c r="G40"/>
  <c r="G38"/>
  <c r="G43"/>
  <c r="G8"/>
  <c r="G335"/>
  <c r="D332"/>
  <c r="G334"/>
  <c r="G333"/>
  <c r="G329"/>
  <c r="G112"/>
  <c r="G110"/>
  <c r="G108"/>
  <c r="G111"/>
  <c r="G109"/>
  <c r="G113"/>
  <c r="G44"/>
  <c r="F51" i="6"/>
  <c r="F44"/>
  <c r="F34"/>
  <c r="E43"/>
  <c r="F43" s="1"/>
  <c r="E50"/>
  <c r="F50" s="1"/>
  <c r="G332" i="7" l="1"/>
  <c r="I254" i="8"/>
  <c r="H254"/>
  <c r="I265"/>
  <c r="H265"/>
  <c r="J264"/>
  <c r="J265" s="1"/>
  <c r="J253"/>
  <c r="H343"/>
  <c r="J102"/>
  <c r="I354"/>
  <c r="H354"/>
  <c r="J353"/>
  <c r="J354" s="1"/>
  <c r="I349"/>
  <c r="H349"/>
  <c r="J199"/>
  <c r="J197"/>
  <c r="J196"/>
  <c r="I401"/>
  <c r="I402" s="1"/>
  <c r="H401"/>
  <c r="H402" s="1"/>
  <c r="J400"/>
  <c r="J399"/>
  <c r="J290"/>
  <c r="J292" s="1"/>
  <c r="J283"/>
  <c r="J285" s="1"/>
  <c r="H278" l="1"/>
  <c r="I278"/>
  <c r="J254"/>
  <c r="I355"/>
  <c r="H355"/>
  <c r="J401"/>
  <c r="J402" s="1"/>
  <c r="I167" l="1"/>
  <c r="I168" s="1"/>
  <c r="H167"/>
  <c r="H168" s="1"/>
  <c r="J166"/>
  <c r="J167" s="1"/>
  <c r="J168" s="1"/>
  <c r="I159"/>
  <c r="H159"/>
  <c r="J158"/>
  <c r="J159" s="1"/>
  <c r="I154"/>
  <c r="H154"/>
  <c r="J153"/>
  <c r="J154" s="1"/>
  <c r="I29"/>
  <c r="H29"/>
  <c r="I181" l="1"/>
  <c r="J176"/>
  <c r="H181"/>
  <c r="H192"/>
  <c r="I506"/>
  <c r="H506"/>
  <c r="J503"/>
  <c r="I497"/>
  <c r="I498" s="1"/>
  <c r="H497"/>
  <c r="H498" s="1"/>
  <c r="H60"/>
  <c r="J7"/>
  <c r="H31" i="3"/>
  <c r="D173" i="7"/>
  <c r="F173"/>
  <c r="D174"/>
  <c r="F174"/>
  <c r="D175"/>
  <c r="F175"/>
  <c r="D176"/>
  <c r="F176"/>
  <c r="D177"/>
  <c r="F177"/>
  <c r="D178"/>
  <c r="F178"/>
  <c r="D179"/>
  <c r="F179"/>
  <c r="D180"/>
  <c r="F180"/>
  <c r="D181"/>
  <c r="F181"/>
  <c r="D182"/>
  <c r="F182"/>
  <c r="D183"/>
  <c r="F183"/>
  <c r="D184"/>
  <c r="F184"/>
  <c r="D185"/>
  <c r="F185"/>
  <c r="D186"/>
  <c r="F186"/>
  <c r="D187"/>
  <c r="F187"/>
  <c r="D188"/>
  <c r="F188"/>
  <c r="D189"/>
  <c r="F189"/>
  <c r="D190"/>
  <c r="F190"/>
  <c r="D191"/>
  <c r="F191"/>
  <c r="H414" i="8"/>
  <c r="J413"/>
  <c r="J412"/>
  <c r="C77" i="6"/>
  <c r="E77"/>
  <c r="I192" i="8"/>
  <c r="I98"/>
  <c r="H98"/>
  <c r="J97"/>
  <c r="J98" s="1"/>
  <c r="I409"/>
  <c r="I415" s="1"/>
  <c r="H409"/>
  <c r="J179"/>
  <c r="H415" l="1"/>
  <c r="G187" i="7"/>
  <c r="G184"/>
  <c r="G180"/>
  <c r="G179"/>
  <c r="G177"/>
  <c r="J414" i="8"/>
  <c r="G191" i="7"/>
  <c r="G178"/>
  <c r="G186"/>
  <c r="G185"/>
  <c r="G190"/>
  <c r="G189"/>
  <c r="G188"/>
  <c r="G183"/>
  <c r="G182"/>
  <c r="G181"/>
  <c r="G176"/>
  <c r="G175"/>
  <c r="G174"/>
  <c r="G173"/>
  <c r="F77" i="6"/>
  <c r="J376" i="8"/>
  <c r="I144"/>
  <c r="I160" s="1"/>
  <c r="J143"/>
  <c r="H144"/>
  <c r="H160" s="1"/>
  <c r="J139"/>
  <c r="N5" i="3" l="1"/>
  <c r="M3"/>
  <c r="N8"/>
  <c r="M8"/>
  <c r="J335" i="8"/>
  <c r="E24" i="5" l="1"/>
  <c r="C16"/>
  <c r="J334" i="8" l="1"/>
  <c r="J337" s="1"/>
  <c r="H30" l="1"/>
  <c r="J491"/>
  <c r="J464"/>
  <c r="J442"/>
  <c r="J135"/>
  <c r="J543" l="1"/>
  <c r="I544"/>
  <c r="D220" i="7"/>
  <c r="F220"/>
  <c r="G46" i="3"/>
  <c r="H102"/>
  <c r="H100"/>
  <c r="H99"/>
  <c r="H96"/>
  <c r="H94"/>
  <c r="H93"/>
  <c r="H90"/>
  <c r="H88"/>
  <c r="H85"/>
  <c r="H86"/>
  <c r="H81"/>
  <c r="H80"/>
  <c r="H78"/>
  <c r="H77"/>
  <c r="H70"/>
  <c r="H71"/>
  <c r="H72"/>
  <c r="H73"/>
  <c r="H68"/>
  <c r="H56"/>
  <c r="H57"/>
  <c r="H59"/>
  <c r="H60"/>
  <c r="H61"/>
  <c r="H62"/>
  <c r="H63"/>
  <c r="H64"/>
  <c r="H65"/>
  <c r="H66"/>
  <c r="H55"/>
  <c r="H51"/>
  <c r="H50"/>
  <c r="H48"/>
  <c r="H47"/>
  <c r="H44"/>
  <c r="H35"/>
  <c r="H36"/>
  <c r="H37"/>
  <c r="H38"/>
  <c r="H39"/>
  <c r="H40"/>
  <c r="H41"/>
  <c r="H42"/>
  <c r="H34"/>
  <c r="H24"/>
  <c r="H25"/>
  <c r="H26"/>
  <c r="H27"/>
  <c r="H28"/>
  <c r="H29"/>
  <c r="H30"/>
  <c r="H32"/>
  <c r="H23"/>
  <c r="H9"/>
  <c r="H10"/>
  <c r="H11"/>
  <c r="H12"/>
  <c r="H13"/>
  <c r="H14"/>
  <c r="H15"/>
  <c r="H17"/>
  <c r="H18"/>
  <c r="H19"/>
  <c r="H21"/>
  <c r="H7"/>
  <c r="H3"/>
  <c r="F340" i="7"/>
  <c r="G340" s="1"/>
  <c r="F328"/>
  <c r="F327"/>
  <c r="F326"/>
  <c r="F325"/>
  <c r="F324"/>
  <c r="F323"/>
  <c r="F322"/>
  <c r="F321"/>
  <c r="F320"/>
  <c r="F299"/>
  <c r="F296"/>
  <c r="F295"/>
  <c r="F274"/>
  <c r="F269"/>
  <c r="F268"/>
  <c r="F247"/>
  <c r="F244"/>
  <c r="F226"/>
  <c r="F225"/>
  <c r="F219"/>
  <c r="F218"/>
  <c r="F217"/>
  <c r="F216"/>
  <c r="F215"/>
  <c r="F194"/>
  <c r="F193"/>
  <c r="F172"/>
  <c r="F171"/>
  <c r="F150"/>
  <c r="F149"/>
  <c r="F126"/>
  <c r="F125"/>
  <c r="F107"/>
  <c r="F94"/>
  <c r="F93"/>
  <c r="F72"/>
  <c r="F71"/>
  <c r="F70"/>
  <c r="F47"/>
  <c r="F46"/>
  <c r="G42"/>
  <c r="F37"/>
  <c r="F36"/>
  <c r="F35"/>
  <c r="F12"/>
  <c r="F11"/>
  <c r="F10"/>
  <c r="F7"/>
  <c r="F6"/>
  <c r="D328"/>
  <c r="D327"/>
  <c r="D326"/>
  <c r="D325"/>
  <c r="D324"/>
  <c r="D323"/>
  <c r="D322"/>
  <c r="D321"/>
  <c r="D320"/>
  <c r="D299"/>
  <c r="D296"/>
  <c r="D295"/>
  <c r="D274"/>
  <c r="D269"/>
  <c r="D268"/>
  <c r="D247"/>
  <c r="D244"/>
  <c r="D226"/>
  <c r="D225"/>
  <c r="D219"/>
  <c r="D218"/>
  <c r="D217"/>
  <c r="D216"/>
  <c r="D215"/>
  <c r="D194"/>
  <c r="D193"/>
  <c r="D172"/>
  <c r="D171"/>
  <c r="D150"/>
  <c r="D149"/>
  <c r="D126"/>
  <c r="D125"/>
  <c r="D107"/>
  <c r="D94"/>
  <c r="D93"/>
  <c r="D72"/>
  <c r="D71"/>
  <c r="D70"/>
  <c r="D47"/>
  <c r="D46"/>
  <c r="D37"/>
  <c r="D36"/>
  <c r="D35"/>
  <c r="D12"/>
  <c r="D11"/>
  <c r="D10"/>
  <c r="D7"/>
  <c r="D6"/>
  <c r="E85" i="6"/>
  <c r="E84"/>
  <c r="E83"/>
  <c r="E82"/>
  <c r="E81"/>
  <c r="E80"/>
  <c r="E79"/>
  <c r="E76"/>
  <c r="E75"/>
  <c r="E74"/>
  <c r="E73"/>
  <c r="E71"/>
  <c r="E70"/>
  <c r="E69"/>
  <c r="E67"/>
  <c r="E66"/>
  <c r="E65"/>
  <c r="E64"/>
  <c r="E63"/>
  <c r="E62"/>
  <c r="E60"/>
  <c r="E59"/>
  <c r="E58"/>
  <c r="E57"/>
  <c r="E56"/>
  <c r="E55"/>
  <c r="E53"/>
  <c r="E52"/>
  <c r="E49"/>
  <c r="E48"/>
  <c r="E47"/>
  <c r="E46"/>
  <c r="E45" s="1"/>
  <c r="E42"/>
  <c r="E41"/>
  <c r="E40"/>
  <c r="E39"/>
  <c r="E38"/>
  <c r="E37"/>
  <c r="E36"/>
  <c r="E33"/>
  <c r="E32"/>
  <c r="E30"/>
  <c r="E29"/>
  <c r="E28"/>
  <c r="E27"/>
  <c r="E26"/>
  <c r="E25"/>
  <c r="E24"/>
  <c r="E23"/>
  <c r="E22"/>
  <c r="E21"/>
  <c r="E20"/>
  <c r="E19"/>
  <c r="E18"/>
  <c r="E17"/>
  <c r="E16"/>
  <c r="E15"/>
  <c r="E13"/>
  <c r="E12"/>
  <c r="E11"/>
  <c r="E10"/>
  <c r="E9"/>
  <c r="E8"/>
  <c r="E7"/>
  <c r="E6"/>
  <c r="E5"/>
  <c r="C85"/>
  <c r="C84"/>
  <c r="C83"/>
  <c r="C82"/>
  <c r="C81"/>
  <c r="C80"/>
  <c r="C79"/>
  <c r="C76"/>
  <c r="C75"/>
  <c r="C74"/>
  <c r="C73"/>
  <c r="C71"/>
  <c r="C70"/>
  <c r="C69"/>
  <c r="C67"/>
  <c r="C66"/>
  <c r="C65"/>
  <c r="C64"/>
  <c r="C63"/>
  <c r="C62"/>
  <c r="C60"/>
  <c r="C59"/>
  <c r="C58"/>
  <c r="C57"/>
  <c r="C56"/>
  <c r="C55"/>
  <c r="C53"/>
  <c r="C52"/>
  <c r="C49"/>
  <c r="C48"/>
  <c r="C47"/>
  <c r="C46"/>
  <c r="C42"/>
  <c r="C41"/>
  <c r="C40"/>
  <c r="C39"/>
  <c r="C38"/>
  <c r="C37"/>
  <c r="C36"/>
  <c r="C33"/>
  <c r="C32"/>
  <c r="C30"/>
  <c r="C29"/>
  <c r="C28"/>
  <c r="C27"/>
  <c r="C26"/>
  <c r="C25"/>
  <c r="C24"/>
  <c r="C23"/>
  <c r="C22"/>
  <c r="C21"/>
  <c r="C20"/>
  <c r="C19"/>
  <c r="C18"/>
  <c r="C17"/>
  <c r="C16"/>
  <c r="C15"/>
  <c r="C13"/>
  <c r="C12"/>
  <c r="C11"/>
  <c r="C10"/>
  <c r="C9"/>
  <c r="C8"/>
  <c r="C7"/>
  <c r="C6"/>
  <c r="C5"/>
  <c r="I60" i="8"/>
  <c r="I46"/>
  <c r="H46"/>
  <c r="H14"/>
  <c r="D46" i="3"/>
  <c r="M14" s="1"/>
  <c r="D49"/>
  <c r="M15" s="1"/>
  <c r="E83" i="5"/>
  <c r="E82"/>
  <c r="E81"/>
  <c r="E79"/>
  <c r="E77"/>
  <c r="E76"/>
  <c r="E75"/>
  <c r="E73"/>
  <c r="E72"/>
  <c r="E71"/>
  <c r="E70"/>
  <c r="E68"/>
  <c r="E67"/>
  <c r="E66"/>
  <c r="E65"/>
  <c r="E64"/>
  <c r="E61"/>
  <c r="E60"/>
  <c r="E59"/>
  <c r="E58"/>
  <c r="E57"/>
  <c r="E56"/>
  <c r="E54"/>
  <c r="E53"/>
  <c r="E52"/>
  <c r="E51"/>
  <c r="E49"/>
  <c r="E47"/>
  <c r="E45"/>
  <c r="E43"/>
  <c r="E42"/>
  <c r="E41"/>
  <c r="E40"/>
  <c r="E38"/>
  <c r="E37"/>
  <c r="E36"/>
  <c r="E35"/>
  <c r="E34"/>
  <c r="E32"/>
  <c r="E31"/>
  <c r="E30"/>
  <c r="E29"/>
  <c r="E27"/>
  <c r="E26"/>
  <c r="E25"/>
  <c r="E23"/>
  <c r="E21"/>
  <c r="E20"/>
  <c r="E19"/>
  <c r="E18"/>
  <c r="E17"/>
  <c r="E16"/>
  <c r="E14"/>
  <c r="E13"/>
  <c r="E12"/>
  <c r="E11"/>
  <c r="E10"/>
  <c r="E9"/>
  <c r="E8"/>
  <c r="E7"/>
  <c r="C83"/>
  <c r="C82"/>
  <c r="C81"/>
  <c r="C79"/>
  <c r="C77"/>
  <c r="C76"/>
  <c r="C75"/>
  <c r="C73"/>
  <c r="C72"/>
  <c r="C71"/>
  <c r="C70"/>
  <c r="C68"/>
  <c r="C67"/>
  <c r="C66"/>
  <c r="C65"/>
  <c r="C64"/>
  <c r="C58"/>
  <c r="C57"/>
  <c r="C56"/>
  <c r="C54"/>
  <c r="C53"/>
  <c r="C52"/>
  <c r="C51"/>
  <c r="C50"/>
  <c r="C49"/>
  <c r="C47"/>
  <c r="C45"/>
  <c r="C43"/>
  <c r="C42"/>
  <c r="C41"/>
  <c r="C40"/>
  <c r="C38"/>
  <c r="C37"/>
  <c r="C36"/>
  <c r="C35"/>
  <c r="C34"/>
  <c r="C32"/>
  <c r="C31"/>
  <c r="C30"/>
  <c r="C29"/>
  <c r="C27"/>
  <c r="C26"/>
  <c r="C25"/>
  <c r="C24"/>
  <c r="C23"/>
  <c r="C21"/>
  <c r="C20"/>
  <c r="C19"/>
  <c r="C18"/>
  <c r="C17"/>
  <c r="C14"/>
  <c r="C13"/>
  <c r="C12"/>
  <c r="C11"/>
  <c r="C10"/>
  <c r="C9"/>
  <c r="C8"/>
  <c r="C7"/>
  <c r="I200" i="8"/>
  <c r="I247" s="1"/>
  <c r="H200"/>
  <c r="H247" s="1"/>
  <c r="J189"/>
  <c r="J312"/>
  <c r="I386"/>
  <c r="H386"/>
  <c r="J385"/>
  <c r="J386" s="1"/>
  <c r="J309"/>
  <c r="H314"/>
  <c r="H315" s="1"/>
  <c r="J326"/>
  <c r="F319" i="7" l="1"/>
  <c r="D319"/>
  <c r="G225"/>
  <c r="D34"/>
  <c r="E35" i="6"/>
  <c r="E31"/>
  <c r="C45"/>
  <c r="C35" s="1"/>
  <c r="C31"/>
  <c r="E50" i="5"/>
  <c r="E72" i="6"/>
  <c r="G220" i="7"/>
  <c r="F170"/>
  <c r="C72" i="6"/>
  <c r="D170" i="7"/>
  <c r="H46" i="3"/>
  <c r="H15" i="8"/>
  <c r="J432"/>
  <c r="J433"/>
  <c r="J434"/>
  <c r="J435"/>
  <c r="J436"/>
  <c r="J437"/>
  <c r="J438"/>
  <c r="J439"/>
  <c r="J440"/>
  <c r="J441"/>
  <c r="J443"/>
  <c r="J259"/>
  <c r="J260" s="1"/>
  <c r="J276"/>
  <c r="J277" s="1"/>
  <c r="J178"/>
  <c r="J177"/>
  <c r="J175"/>
  <c r="J174"/>
  <c r="J173"/>
  <c r="J327"/>
  <c r="J323"/>
  <c r="J324"/>
  <c r="J322"/>
  <c r="J321"/>
  <c r="J320"/>
  <c r="J298"/>
  <c r="J297"/>
  <c r="J200"/>
  <c r="J188"/>
  <c r="J186"/>
  <c r="I314"/>
  <c r="I315" s="1"/>
  <c r="J313"/>
  <c r="J311"/>
  <c r="J496"/>
  <c r="J505"/>
  <c r="J504"/>
  <c r="I507"/>
  <c r="I508" s="1"/>
  <c r="H507"/>
  <c r="H508" s="1"/>
  <c r="J495"/>
  <c r="J493"/>
  <c r="J492"/>
  <c r="J490"/>
  <c r="J489"/>
  <c r="J488"/>
  <c r="J487"/>
  <c r="J486"/>
  <c r="J485"/>
  <c r="J484"/>
  <c r="J483"/>
  <c r="J482"/>
  <c r="J481"/>
  <c r="J480"/>
  <c r="I361"/>
  <c r="J360"/>
  <c r="J471"/>
  <c r="J470"/>
  <c r="J463"/>
  <c r="J461"/>
  <c r="J460"/>
  <c r="J459"/>
  <c r="J458"/>
  <c r="J457"/>
  <c r="J456"/>
  <c r="J455"/>
  <c r="J454"/>
  <c r="J469"/>
  <c r="J468"/>
  <c r="J462"/>
  <c r="I472"/>
  <c r="I473" s="1"/>
  <c r="H472"/>
  <c r="H473" s="1"/>
  <c r="J453"/>
  <c r="J452"/>
  <c r="J408"/>
  <c r="J407"/>
  <c r="J421"/>
  <c r="J420"/>
  <c r="I422"/>
  <c r="I423" s="1"/>
  <c r="H422"/>
  <c r="H423" s="1"/>
  <c r="I444"/>
  <c r="I445" s="1"/>
  <c r="I446" s="1"/>
  <c r="H445"/>
  <c r="H446" s="1"/>
  <c r="J431"/>
  <c r="J430"/>
  <c r="J42"/>
  <c r="J41"/>
  <c r="J40"/>
  <c r="J39"/>
  <c r="I391"/>
  <c r="I392" s="1"/>
  <c r="J390"/>
  <c r="H391"/>
  <c r="H392" s="1"/>
  <c r="I30"/>
  <c r="J27"/>
  <c r="J348"/>
  <c r="J349" s="1"/>
  <c r="J355" s="1"/>
  <c r="I103"/>
  <c r="I110" s="1"/>
  <c r="H103"/>
  <c r="H110" s="1"/>
  <c r="H424" s="1"/>
  <c r="J103"/>
  <c r="J68"/>
  <c r="J107"/>
  <c r="J109" s="1"/>
  <c r="J92"/>
  <c r="J89"/>
  <c r="J88"/>
  <c r="I379"/>
  <c r="J378"/>
  <c r="J377"/>
  <c r="J375"/>
  <c r="H379"/>
  <c r="H380" s="1"/>
  <c r="J54"/>
  <c r="J8"/>
  <c r="J9"/>
  <c r="J10"/>
  <c r="J11"/>
  <c r="J300" l="1"/>
  <c r="J180"/>
  <c r="J181" s="1"/>
  <c r="I380"/>
  <c r="I424" s="1"/>
  <c r="J278"/>
  <c r="J70"/>
  <c r="J328"/>
  <c r="J343" s="1"/>
  <c r="J93"/>
  <c r="J45"/>
  <c r="J46" s="1"/>
  <c r="J361"/>
  <c r="H474"/>
  <c r="F31" i="6"/>
  <c r="J379" i="8"/>
  <c r="J192"/>
  <c r="J247" s="1"/>
  <c r="J409"/>
  <c r="J415" s="1"/>
  <c r="J497"/>
  <c r="J498" s="1"/>
  <c r="J506"/>
  <c r="J444"/>
  <c r="J445" s="1"/>
  <c r="J446" s="1"/>
  <c r="J472"/>
  <c r="J473" s="1"/>
  <c r="J391"/>
  <c r="J392" s="1"/>
  <c r="J314"/>
  <c r="I474"/>
  <c r="J422"/>
  <c r="J423" s="1"/>
  <c r="J56"/>
  <c r="J55"/>
  <c r="J53"/>
  <c r="J52"/>
  <c r="J380" l="1"/>
  <c r="J110"/>
  <c r="H521"/>
  <c r="I521"/>
  <c r="J315"/>
  <c r="J59"/>
  <c r="J60" s="1"/>
  <c r="J507"/>
  <c r="J508" s="1"/>
  <c r="J474"/>
  <c r="H522" l="1"/>
  <c r="I522"/>
  <c r="J544"/>
  <c r="H544"/>
  <c r="G55" i="4"/>
  <c r="G48"/>
  <c r="F48"/>
  <c r="G40"/>
  <c r="F40"/>
  <c r="G37"/>
  <c r="F37"/>
  <c r="E37"/>
  <c r="G34"/>
  <c r="F34"/>
  <c r="E34"/>
  <c r="G31"/>
  <c r="F31"/>
  <c r="E31"/>
  <c r="G28"/>
  <c r="F28"/>
  <c r="E28"/>
  <c r="G25"/>
  <c r="F25"/>
  <c r="E25"/>
  <c r="G19"/>
  <c r="F14"/>
  <c r="G14"/>
  <c r="E14"/>
  <c r="H55" l="1"/>
  <c r="H48"/>
  <c r="H40"/>
  <c r="H37"/>
  <c r="H34"/>
  <c r="H19"/>
  <c r="H28"/>
  <c r="H31"/>
  <c r="H25"/>
  <c r="H14"/>
  <c r="F169" i="7"/>
  <c r="F168"/>
  <c r="F167"/>
  <c r="F166"/>
  <c r="F165"/>
  <c r="F164"/>
  <c r="F163"/>
  <c r="F162"/>
  <c r="F161"/>
  <c r="F160"/>
  <c r="F159"/>
  <c r="F158"/>
  <c r="F157"/>
  <c r="F156"/>
  <c r="F155"/>
  <c r="F154"/>
  <c r="F153"/>
  <c r="F152"/>
  <c r="F151"/>
  <c r="F213"/>
  <c r="F212"/>
  <c r="F211"/>
  <c r="F210"/>
  <c r="F209"/>
  <c r="F208"/>
  <c r="F207"/>
  <c r="F206"/>
  <c r="F205"/>
  <c r="F204"/>
  <c r="F203"/>
  <c r="F202"/>
  <c r="F201"/>
  <c r="F200"/>
  <c r="F199"/>
  <c r="F198"/>
  <c r="F197"/>
  <c r="F196"/>
  <c r="F195"/>
  <c r="F242"/>
  <c r="F241"/>
  <c r="F240"/>
  <c r="F239"/>
  <c r="F238"/>
  <c r="F237"/>
  <c r="F236"/>
  <c r="F235"/>
  <c r="F234"/>
  <c r="F233"/>
  <c r="F232"/>
  <c r="F231"/>
  <c r="F230"/>
  <c r="F229"/>
  <c r="F228"/>
  <c r="F227"/>
  <c r="F266"/>
  <c r="F265"/>
  <c r="F264"/>
  <c r="F263"/>
  <c r="F262"/>
  <c r="F261"/>
  <c r="F260"/>
  <c r="F259"/>
  <c r="F258"/>
  <c r="F257"/>
  <c r="F256"/>
  <c r="F255"/>
  <c r="F254"/>
  <c r="F253"/>
  <c r="F252"/>
  <c r="F251"/>
  <c r="F250"/>
  <c r="F249"/>
  <c r="F248"/>
  <c r="F293"/>
  <c r="F292"/>
  <c r="F291"/>
  <c r="F290"/>
  <c r="F289"/>
  <c r="F288"/>
  <c r="F287"/>
  <c r="F286"/>
  <c r="F285"/>
  <c r="F284"/>
  <c r="F283"/>
  <c r="F282"/>
  <c r="F281"/>
  <c r="F280"/>
  <c r="F279"/>
  <c r="F278"/>
  <c r="F277"/>
  <c r="F318"/>
  <c r="F317"/>
  <c r="F316"/>
  <c r="F315"/>
  <c r="F314"/>
  <c r="F313"/>
  <c r="F312"/>
  <c r="F311"/>
  <c r="F310"/>
  <c r="F309"/>
  <c r="F308"/>
  <c r="F307"/>
  <c r="F306"/>
  <c r="F305"/>
  <c r="F304"/>
  <c r="F303"/>
  <c r="F302"/>
  <c r="F301"/>
  <c r="D318"/>
  <c r="D317"/>
  <c r="D316"/>
  <c r="D315"/>
  <c r="D314"/>
  <c r="D313"/>
  <c r="D312"/>
  <c r="D311"/>
  <c r="D310"/>
  <c r="D309"/>
  <c r="D308"/>
  <c r="D307"/>
  <c r="D306"/>
  <c r="D305"/>
  <c r="D304"/>
  <c r="D303"/>
  <c r="D302"/>
  <c r="D301"/>
  <c r="D293"/>
  <c r="D292"/>
  <c r="D291"/>
  <c r="D290"/>
  <c r="D289"/>
  <c r="D288"/>
  <c r="D287"/>
  <c r="D286"/>
  <c r="D285"/>
  <c r="D284"/>
  <c r="D283"/>
  <c r="D282"/>
  <c r="D281"/>
  <c r="D280"/>
  <c r="D279"/>
  <c r="D278"/>
  <c r="D277"/>
  <c r="D266"/>
  <c r="D265"/>
  <c r="D264"/>
  <c r="D263"/>
  <c r="D262"/>
  <c r="D261"/>
  <c r="D260"/>
  <c r="D259"/>
  <c r="D258"/>
  <c r="D257"/>
  <c r="D256"/>
  <c r="D255"/>
  <c r="D254"/>
  <c r="D253"/>
  <c r="D252"/>
  <c r="D251"/>
  <c r="D250"/>
  <c r="D249"/>
  <c r="D248"/>
  <c r="D242"/>
  <c r="D241"/>
  <c r="D240"/>
  <c r="D239"/>
  <c r="D238"/>
  <c r="D237"/>
  <c r="D236"/>
  <c r="D235"/>
  <c r="D234"/>
  <c r="D233"/>
  <c r="D232"/>
  <c r="D231"/>
  <c r="D230"/>
  <c r="D229"/>
  <c r="D228"/>
  <c r="D227"/>
  <c r="G226"/>
  <c r="D213"/>
  <c r="D212"/>
  <c r="D211"/>
  <c r="D210"/>
  <c r="D209"/>
  <c r="D208"/>
  <c r="D207"/>
  <c r="D206"/>
  <c r="D205"/>
  <c r="D204"/>
  <c r="D203"/>
  <c r="D202"/>
  <c r="D201"/>
  <c r="D200"/>
  <c r="D199"/>
  <c r="D198"/>
  <c r="D197"/>
  <c r="D196"/>
  <c r="D195"/>
  <c r="D169"/>
  <c r="D168"/>
  <c r="D167"/>
  <c r="D166"/>
  <c r="D165"/>
  <c r="D164"/>
  <c r="D163"/>
  <c r="D162"/>
  <c r="D161"/>
  <c r="D160"/>
  <c r="D159"/>
  <c r="D158"/>
  <c r="D157"/>
  <c r="D156"/>
  <c r="D155"/>
  <c r="D154"/>
  <c r="D153"/>
  <c r="D152"/>
  <c r="D151"/>
  <c r="F123"/>
  <c r="F122"/>
  <c r="F121"/>
  <c r="F120"/>
  <c r="F119"/>
  <c r="F118"/>
  <c r="F117"/>
  <c r="F116"/>
  <c r="F115"/>
  <c r="D123"/>
  <c r="D122"/>
  <c r="D121"/>
  <c r="D120"/>
  <c r="D119"/>
  <c r="D118"/>
  <c r="D117"/>
  <c r="D116"/>
  <c r="D115"/>
  <c r="C340"/>
  <c r="C300"/>
  <c r="C301"/>
  <c r="C302"/>
  <c r="C303"/>
  <c r="C304"/>
  <c r="C305"/>
  <c r="C306"/>
  <c r="C307"/>
  <c r="C308"/>
  <c r="C309"/>
  <c r="C310"/>
  <c r="C311"/>
  <c r="C312"/>
  <c r="C313"/>
  <c r="C314"/>
  <c r="C315"/>
  <c r="C316"/>
  <c r="C317"/>
  <c r="C318"/>
  <c r="C299"/>
  <c r="C275"/>
  <c r="C276"/>
  <c r="C277"/>
  <c r="C278"/>
  <c r="C279"/>
  <c r="C280"/>
  <c r="C281"/>
  <c r="C282"/>
  <c r="C283"/>
  <c r="C284"/>
  <c r="C285"/>
  <c r="C286"/>
  <c r="C287"/>
  <c r="C288"/>
  <c r="C289"/>
  <c r="C290"/>
  <c r="C291"/>
  <c r="C292"/>
  <c r="C293"/>
  <c r="C274"/>
  <c r="C248"/>
  <c r="C249"/>
  <c r="C250"/>
  <c r="C251"/>
  <c r="C252"/>
  <c r="C253"/>
  <c r="C254"/>
  <c r="C255"/>
  <c r="C256"/>
  <c r="C257"/>
  <c r="C258"/>
  <c r="C259"/>
  <c r="C260"/>
  <c r="C261"/>
  <c r="C262"/>
  <c r="C263"/>
  <c r="C264"/>
  <c r="C265"/>
  <c r="C266"/>
  <c r="C247"/>
  <c r="C226"/>
  <c r="C227"/>
  <c r="C228"/>
  <c r="C229"/>
  <c r="C230"/>
  <c r="C231"/>
  <c r="C232"/>
  <c r="C233"/>
  <c r="C234"/>
  <c r="C235"/>
  <c r="C236"/>
  <c r="C237"/>
  <c r="C238"/>
  <c r="C239"/>
  <c r="C240"/>
  <c r="C241"/>
  <c r="C242"/>
  <c r="C195"/>
  <c r="C196"/>
  <c r="C197"/>
  <c r="C198"/>
  <c r="C199"/>
  <c r="C200"/>
  <c r="C201"/>
  <c r="C202"/>
  <c r="C203"/>
  <c r="C204"/>
  <c r="C205"/>
  <c r="C206"/>
  <c r="C207"/>
  <c r="C208"/>
  <c r="C209"/>
  <c r="C210"/>
  <c r="C211"/>
  <c r="C212"/>
  <c r="C213"/>
  <c r="C194"/>
  <c r="C173"/>
  <c r="C174"/>
  <c r="C175"/>
  <c r="C176"/>
  <c r="C177"/>
  <c r="C178"/>
  <c r="C179"/>
  <c r="C180"/>
  <c r="C181"/>
  <c r="C182"/>
  <c r="C183"/>
  <c r="C184"/>
  <c r="C185"/>
  <c r="C186"/>
  <c r="C187"/>
  <c r="C188"/>
  <c r="C189"/>
  <c r="C190"/>
  <c r="C191"/>
  <c r="C172"/>
  <c r="C151"/>
  <c r="C152"/>
  <c r="C153"/>
  <c r="C154"/>
  <c r="C155"/>
  <c r="C156"/>
  <c r="C157"/>
  <c r="C158"/>
  <c r="C159"/>
  <c r="C160"/>
  <c r="C161"/>
  <c r="C162"/>
  <c r="C163"/>
  <c r="C164"/>
  <c r="C165"/>
  <c r="C166"/>
  <c r="C167"/>
  <c r="C168"/>
  <c r="C169"/>
  <c r="C128"/>
  <c r="C129"/>
  <c r="C132"/>
  <c r="C133"/>
  <c r="C134"/>
  <c r="C135"/>
  <c r="C136"/>
  <c r="C137"/>
  <c r="C138"/>
  <c r="C139"/>
  <c r="C140"/>
  <c r="C141"/>
  <c r="C142"/>
  <c r="C143"/>
  <c r="C144"/>
  <c r="C145"/>
  <c r="C146"/>
  <c r="C147"/>
  <c r="C114"/>
  <c r="C115"/>
  <c r="C116"/>
  <c r="C117"/>
  <c r="C118"/>
  <c r="C119"/>
  <c r="C120"/>
  <c r="C121"/>
  <c r="C122"/>
  <c r="C123"/>
  <c r="C95"/>
  <c r="C96"/>
  <c r="C97"/>
  <c r="C98"/>
  <c r="C99"/>
  <c r="C100"/>
  <c r="C101"/>
  <c r="C102"/>
  <c r="C103"/>
  <c r="C104"/>
  <c r="C105"/>
  <c r="F105"/>
  <c r="F104"/>
  <c r="F103"/>
  <c r="F102"/>
  <c r="F101"/>
  <c r="F100"/>
  <c r="F99"/>
  <c r="F98"/>
  <c r="F97"/>
  <c r="F96"/>
  <c r="F95"/>
  <c r="D105"/>
  <c r="D104"/>
  <c r="D103"/>
  <c r="D102"/>
  <c r="D101"/>
  <c r="D100"/>
  <c r="D99"/>
  <c r="D98"/>
  <c r="D97"/>
  <c r="D96"/>
  <c r="D95"/>
  <c r="F91"/>
  <c r="F90"/>
  <c r="F89"/>
  <c r="F88"/>
  <c r="F87"/>
  <c r="F86"/>
  <c r="F85"/>
  <c r="F84"/>
  <c r="F83"/>
  <c r="F82"/>
  <c r="F81"/>
  <c r="F80"/>
  <c r="F79"/>
  <c r="F78"/>
  <c r="F77"/>
  <c r="F76"/>
  <c r="F75"/>
  <c r="F74"/>
  <c r="F73"/>
  <c r="D91"/>
  <c r="D90"/>
  <c r="D89"/>
  <c r="D88"/>
  <c r="D87"/>
  <c r="D86"/>
  <c r="D85"/>
  <c r="D84"/>
  <c r="D83"/>
  <c r="D82"/>
  <c r="D81"/>
  <c r="D80"/>
  <c r="D79"/>
  <c r="D78"/>
  <c r="D77"/>
  <c r="D76"/>
  <c r="D75"/>
  <c r="D74"/>
  <c r="D73"/>
  <c r="C73"/>
  <c r="C74"/>
  <c r="C75"/>
  <c r="C76"/>
  <c r="C77"/>
  <c r="C78"/>
  <c r="C79"/>
  <c r="C80"/>
  <c r="C81"/>
  <c r="C82"/>
  <c r="C83"/>
  <c r="C84"/>
  <c r="C85"/>
  <c r="C86"/>
  <c r="C87"/>
  <c r="C88"/>
  <c r="C89"/>
  <c r="C90"/>
  <c r="C91"/>
  <c r="C72"/>
  <c r="F68"/>
  <c r="F67"/>
  <c r="F66"/>
  <c r="F65"/>
  <c r="F64"/>
  <c r="F63"/>
  <c r="F62"/>
  <c r="F61"/>
  <c r="F60"/>
  <c r="F59"/>
  <c r="F58"/>
  <c r="F57"/>
  <c r="F56"/>
  <c r="F55"/>
  <c r="F54"/>
  <c r="F53"/>
  <c r="F52"/>
  <c r="F51"/>
  <c r="F50"/>
  <c r="D68"/>
  <c r="D67"/>
  <c r="D66"/>
  <c r="D65"/>
  <c r="D64"/>
  <c r="D63"/>
  <c r="D62"/>
  <c r="D61"/>
  <c r="D60"/>
  <c r="D59"/>
  <c r="D58"/>
  <c r="D57"/>
  <c r="D56"/>
  <c r="D55"/>
  <c r="D54"/>
  <c r="D53"/>
  <c r="D52"/>
  <c r="D51"/>
  <c r="D50"/>
  <c r="G152" l="1"/>
  <c r="G154"/>
  <c r="G156"/>
  <c r="G158"/>
  <c r="G160"/>
  <c r="G162"/>
  <c r="G164"/>
  <c r="G166"/>
  <c r="G168"/>
  <c r="G195"/>
  <c r="G197"/>
  <c r="G199"/>
  <c r="G201"/>
  <c r="G203"/>
  <c r="G205"/>
  <c r="G207"/>
  <c r="G209"/>
  <c r="G211"/>
  <c r="G213"/>
  <c r="G228"/>
  <c r="G230"/>
  <c r="G232"/>
  <c r="G234"/>
  <c r="G236"/>
  <c r="G238"/>
  <c r="G240"/>
  <c r="G242"/>
  <c r="G248"/>
  <c r="G250"/>
  <c r="G252"/>
  <c r="G254"/>
  <c r="G256"/>
  <c r="G258"/>
  <c r="G260"/>
  <c r="G262"/>
  <c r="G151"/>
  <c r="G153"/>
  <c r="G155"/>
  <c r="G157"/>
  <c r="G159"/>
  <c r="G161"/>
  <c r="G163"/>
  <c r="G165"/>
  <c r="G167"/>
  <c r="G169"/>
  <c r="G196"/>
  <c r="G198"/>
  <c r="G200"/>
  <c r="G202"/>
  <c r="G204"/>
  <c r="G206"/>
  <c r="G208"/>
  <c r="G210"/>
  <c r="G212"/>
  <c r="G264"/>
  <c r="G266"/>
  <c r="G278"/>
  <c r="G280"/>
  <c r="G282"/>
  <c r="G284"/>
  <c r="G286"/>
  <c r="G288"/>
  <c r="G290"/>
  <c r="G292"/>
  <c r="G302"/>
  <c r="G304"/>
  <c r="G306"/>
  <c r="G308"/>
  <c r="G310"/>
  <c r="G312"/>
  <c r="G314"/>
  <c r="G316"/>
  <c r="G318"/>
  <c r="G227"/>
  <c r="G229"/>
  <c r="G231"/>
  <c r="G233"/>
  <c r="G235"/>
  <c r="G237"/>
  <c r="G239"/>
  <c r="G241"/>
  <c r="G249"/>
  <c r="G251"/>
  <c r="G253"/>
  <c r="G255"/>
  <c r="G257"/>
  <c r="G259"/>
  <c r="G261"/>
  <c r="G263"/>
  <c r="G265"/>
  <c r="G277"/>
  <c r="G279"/>
  <c r="G281"/>
  <c r="G283"/>
  <c r="G285"/>
  <c r="G287"/>
  <c r="G289"/>
  <c r="G291"/>
  <c r="G293"/>
  <c r="G301"/>
  <c r="G305"/>
  <c r="G309"/>
  <c r="G313"/>
  <c r="G317"/>
  <c r="G52"/>
  <c r="G56"/>
  <c r="G58"/>
  <c r="G60"/>
  <c r="G62"/>
  <c r="G64"/>
  <c r="G66"/>
  <c r="G68"/>
  <c r="G51"/>
  <c r="G53"/>
  <c r="G55"/>
  <c r="G57"/>
  <c r="G59"/>
  <c r="G61"/>
  <c r="G63"/>
  <c r="G65"/>
  <c r="G67"/>
  <c r="G50"/>
  <c r="F59" i="5"/>
  <c r="G54" i="7"/>
  <c r="G303"/>
  <c r="G307"/>
  <c r="G311"/>
  <c r="G315"/>
  <c r="F60" i="5"/>
  <c r="F56"/>
  <c r="F61"/>
  <c r="F57"/>
  <c r="F58"/>
  <c r="G117" i="7"/>
  <c r="G121"/>
  <c r="G118"/>
  <c r="G122"/>
  <c r="G115"/>
  <c r="G119"/>
  <c r="G123"/>
  <c r="C55" i="5"/>
  <c r="G116" i="7"/>
  <c r="G120"/>
  <c r="G102"/>
  <c r="G101"/>
  <c r="G84"/>
  <c r="G88"/>
  <c r="G87"/>
  <c r="G91"/>
  <c r="G79"/>
  <c r="G83"/>
  <c r="G98"/>
  <c r="G75"/>
  <c r="G96"/>
  <c r="G73"/>
  <c r="G77"/>
  <c r="G81"/>
  <c r="G85"/>
  <c r="G89"/>
  <c r="G76"/>
  <c r="G80"/>
  <c r="G95"/>
  <c r="G103"/>
  <c r="G99"/>
  <c r="G74"/>
  <c r="G78"/>
  <c r="G82"/>
  <c r="G86"/>
  <c r="G90"/>
  <c r="G97"/>
  <c r="G105"/>
  <c r="G100"/>
  <c r="G104"/>
  <c r="F33" l="1"/>
  <c r="F32"/>
  <c r="F31"/>
  <c r="F30"/>
  <c r="F29"/>
  <c r="F28"/>
  <c r="F27"/>
  <c r="F26"/>
  <c r="F25"/>
  <c r="F24"/>
  <c r="F23"/>
  <c r="F22"/>
  <c r="F21"/>
  <c r="F20"/>
  <c r="F19"/>
  <c r="F18"/>
  <c r="F17"/>
  <c r="F16"/>
  <c r="F15"/>
  <c r="F14"/>
  <c r="F13"/>
  <c r="D33"/>
  <c r="D32"/>
  <c r="D31"/>
  <c r="D30"/>
  <c r="D29"/>
  <c r="D28"/>
  <c r="D27"/>
  <c r="D26"/>
  <c r="C26"/>
  <c r="C27"/>
  <c r="C28"/>
  <c r="C29"/>
  <c r="C30"/>
  <c r="C31"/>
  <c r="C32"/>
  <c r="C33"/>
  <c r="D25"/>
  <c r="D24"/>
  <c r="D23"/>
  <c r="D22"/>
  <c r="D21"/>
  <c r="D20"/>
  <c r="D19"/>
  <c r="D18"/>
  <c r="D17"/>
  <c r="D16"/>
  <c r="D15"/>
  <c r="D14"/>
  <c r="D13"/>
  <c r="C11"/>
  <c r="C12"/>
  <c r="C13"/>
  <c r="C14"/>
  <c r="C15"/>
  <c r="C16"/>
  <c r="C17"/>
  <c r="C18"/>
  <c r="C19"/>
  <c r="C20"/>
  <c r="C21"/>
  <c r="C22"/>
  <c r="C23"/>
  <c r="C24"/>
  <c r="C25"/>
  <c r="G19" l="1"/>
  <c r="G27"/>
  <c r="G31"/>
  <c r="G16"/>
  <c r="G14"/>
  <c r="G18"/>
  <c r="G21"/>
  <c r="G25"/>
  <c r="G22"/>
  <c r="G30"/>
  <c r="G216"/>
  <c r="G17"/>
  <c r="G26"/>
  <c r="G24"/>
  <c r="G20"/>
  <c r="G12"/>
  <c r="G11"/>
  <c r="G15"/>
  <c r="G23"/>
  <c r="G13"/>
  <c r="G32"/>
  <c r="G28"/>
  <c r="G33"/>
  <c r="G29"/>
  <c r="N4" i="3"/>
  <c r="M5"/>
  <c r="M4"/>
  <c r="F276" i="7" l="1"/>
  <c r="F275"/>
  <c r="G172" l="1"/>
  <c r="D275"/>
  <c r="G275" s="1"/>
  <c r="G194" l="1"/>
  <c r="D192"/>
  <c r="B356" s="1"/>
  <c r="D276"/>
  <c r="G276" s="1"/>
  <c r="D148"/>
  <c r="B354" s="1"/>
  <c r="B348"/>
  <c r="D5"/>
  <c r="D45"/>
  <c r="C78" i="5"/>
  <c r="E78"/>
  <c r="E55"/>
  <c r="F192" i="7"/>
  <c r="F148"/>
  <c r="G218" l="1"/>
  <c r="B355"/>
  <c r="E22" i="5"/>
  <c r="B347" i="7"/>
  <c r="B349"/>
  <c r="E80" i="5"/>
  <c r="E6"/>
  <c r="E15"/>
  <c r="E28"/>
  <c r="C6"/>
  <c r="C15"/>
  <c r="C39"/>
  <c r="C80"/>
  <c r="C63"/>
  <c r="C74"/>
  <c r="C28"/>
  <c r="C48"/>
  <c r="C78" i="6"/>
  <c r="C33" i="5"/>
  <c r="C22"/>
  <c r="C69"/>
  <c r="F81" i="6"/>
  <c r="F80"/>
  <c r="F7" i="5"/>
  <c r="F7" i="6"/>
  <c r="F20"/>
  <c r="F24"/>
  <c r="F33"/>
  <c r="F39"/>
  <c r="F52"/>
  <c r="F71"/>
  <c r="F76"/>
  <c r="F84"/>
  <c r="F8"/>
  <c r="F12"/>
  <c r="F21"/>
  <c r="F25"/>
  <c r="F36"/>
  <c r="F47"/>
  <c r="F56"/>
  <c r="F85"/>
  <c r="F5"/>
  <c r="F9"/>
  <c r="F18"/>
  <c r="F26"/>
  <c r="F30"/>
  <c r="F41"/>
  <c r="F48"/>
  <c r="F57"/>
  <c r="F62"/>
  <c r="F66"/>
  <c r="F82"/>
  <c r="F6"/>
  <c r="F10"/>
  <c r="F19"/>
  <c r="F23"/>
  <c r="F32"/>
  <c r="F38"/>
  <c r="F42"/>
  <c r="F45"/>
  <c r="F49"/>
  <c r="F53"/>
  <c r="F70"/>
  <c r="F79"/>
  <c r="F83"/>
  <c r="F267" i="7"/>
  <c r="F45"/>
  <c r="F5" l="1"/>
  <c r="G5" s="1"/>
  <c r="F34"/>
  <c r="G34" s="1"/>
  <c r="D267"/>
  <c r="B359" s="1"/>
  <c r="D69"/>
  <c r="E68" i="6"/>
  <c r="E78"/>
  <c r="F78" s="1"/>
  <c r="F294" i="7"/>
  <c r="C62" i="5"/>
  <c r="F67" i="6"/>
  <c r="D294" i="7"/>
  <c r="B360" s="1"/>
  <c r="C54" i="6"/>
  <c r="E54"/>
  <c r="F46"/>
  <c r="F74"/>
  <c r="F16"/>
  <c r="F64"/>
  <c r="F37"/>
  <c r="F11"/>
  <c r="F58"/>
  <c r="F60"/>
  <c r="F29"/>
  <c r="F65"/>
  <c r="F69"/>
  <c r="F73"/>
  <c r="F15"/>
  <c r="E61"/>
  <c r="E4"/>
  <c r="F55"/>
  <c r="G321" i="7"/>
  <c r="G247"/>
  <c r="D124"/>
  <c r="D106"/>
  <c r="G107"/>
  <c r="G94"/>
  <c r="G327"/>
  <c r="G325"/>
  <c r="G322"/>
  <c r="J142" i="8"/>
  <c r="J140"/>
  <c r="J138"/>
  <c r="J137"/>
  <c r="J136"/>
  <c r="J134"/>
  <c r="J132"/>
  <c r="J131"/>
  <c r="J130"/>
  <c r="J129"/>
  <c r="J128"/>
  <c r="J127"/>
  <c r="J126"/>
  <c r="J125"/>
  <c r="J124"/>
  <c r="J123"/>
  <c r="J28"/>
  <c r="J26"/>
  <c r="J25"/>
  <c r="J24"/>
  <c r="J23"/>
  <c r="H101" i="3"/>
  <c r="H98"/>
  <c r="H95"/>
  <c r="H92"/>
  <c r="H89"/>
  <c r="H87"/>
  <c r="H82"/>
  <c r="H79"/>
  <c r="H76"/>
  <c r="H67"/>
  <c r="H54"/>
  <c r="H49"/>
  <c r="H43"/>
  <c r="H33"/>
  <c r="H22"/>
  <c r="H6"/>
  <c r="G101"/>
  <c r="G98"/>
  <c r="G95"/>
  <c r="G92"/>
  <c r="G89"/>
  <c r="G87"/>
  <c r="G82"/>
  <c r="G79"/>
  <c r="G76"/>
  <c r="N3" s="1"/>
  <c r="G54"/>
  <c r="G49"/>
  <c r="G43"/>
  <c r="G33"/>
  <c r="G22"/>
  <c r="G6"/>
  <c r="G217" i="7"/>
  <c r="D92"/>
  <c r="F75" i="6"/>
  <c r="G45" i="7"/>
  <c r="G46"/>
  <c r="G47"/>
  <c r="G70"/>
  <c r="G71"/>
  <c r="G126"/>
  <c r="G148"/>
  <c r="G149"/>
  <c r="G150"/>
  <c r="G170"/>
  <c r="G171"/>
  <c r="G192"/>
  <c r="G193"/>
  <c r="G215"/>
  <c r="G268"/>
  <c r="G269"/>
  <c r="G274"/>
  <c r="G295"/>
  <c r="G296"/>
  <c r="G299"/>
  <c r="G323"/>
  <c r="G324"/>
  <c r="G36"/>
  <c r="G37"/>
  <c r="G35"/>
  <c r="G7"/>
  <c r="G10"/>
  <c r="G6"/>
  <c r="F28" i="6"/>
  <c r="F78" i="5"/>
  <c r="F77"/>
  <c r="F75"/>
  <c r="E74"/>
  <c r="F74" s="1"/>
  <c r="F65"/>
  <c r="E63"/>
  <c r="F63" s="1"/>
  <c r="F54"/>
  <c r="F52"/>
  <c r="F50"/>
  <c r="E48"/>
  <c r="F48" s="1"/>
  <c r="E46"/>
  <c r="F47"/>
  <c r="F42"/>
  <c r="E39"/>
  <c r="F40"/>
  <c r="F37"/>
  <c r="F34"/>
  <c r="F31"/>
  <c r="F29"/>
  <c r="F26"/>
  <c r="F24"/>
  <c r="F21"/>
  <c r="F19"/>
  <c r="F17"/>
  <c r="F14"/>
  <c r="F12"/>
  <c r="F10"/>
  <c r="F9"/>
  <c r="F8"/>
  <c r="D101" i="3"/>
  <c r="I10" i="16" s="1"/>
  <c r="D98" i="3"/>
  <c r="D87"/>
  <c r="D95"/>
  <c r="D92"/>
  <c r="D89"/>
  <c r="D79"/>
  <c r="M16" s="1"/>
  <c r="D76"/>
  <c r="D67"/>
  <c r="D54"/>
  <c r="D43"/>
  <c r="D33"/>
  <c r="D22"/>
  <c r="D6"/>
  <c r="I9" i="16"/>
  <c r="F81" i="5"/>
  <c r="F79"/>
  <c r="F67"/>
  <c r="F70"/>
  <c r="F72"/>
  <c r="E33"/>
  <c r="F33" s="1"/>
  <c r="E69"/>
  <c r="F69" s="1"/>
  <c r="F76"/>
  <c r="F11"/>
  <c r="F13"/>
  <c r="F16"/>
  <c r="F18"/>
  <c r="F20"/>
  <c r="F23"/>
  <c r="F25"/>
  <c r="F27"/>
  <c r="F30"/>
  <c r="F32"/>
  <c r="F35"/>
  <c r="F38"/>
  <c r="F41"/>
  <c r="F43"/>
  <c r="F45"/>
  <c r="F49"/>
  <c r="F51"/>
  <c r="F53"/>
  <c r="F64"/>
  <c r="F66"/>
  <c r="F68"/>
  <c r="F71"/>
  <c r="C46"/>
  <c r="C86" s="1"/>
  <c r="I12" i="16"/>
  <c r="C61" i="6"/>
  <c r="F15" i="5"/>
  <c r="F28"/>
  <c r="F6"/>
  <c r="F80"/>
  <c r="F55"/>
  <c r="F22"/>
  <c r="E86" l="1"/>
  <c r="D75"/>
  <c r="D85"/>
  <c r="D84" s="1"/>
  <c r="I13" i="16"/>
  <c r="H97" i="3"/>
  <c r="D5"/>
  <c r="H91"/>
  <c r="D53"/>
  <c r="G53"/>
  <c r="B350" i="7"/>
  <c r="J14" i="8"/>
  <c r="J15" s="1"/>
  <c r="J29"/>
  <c r="F54" i="6"/>
  <c r="G267" i="7"/>
  <c r="G97" i="3"/>
  <c r="N7" s="1"/>
  <c r="H45"/>
  <c r="H53"/>
  <c r="J30" i="8"/>
  <c r="F214" i="7"/>
  <c r="E14" i="6"/>
  <c r="E86" s="1"/>
  <c r="H5" i="3"/>
  <c r="D45"/>
  <c r="D91"/>
  <c r="G5"/>
  <c r="G45"/>
  <c r="G91"/>
  <c r="N6" s="1"/>
  <c r="F243" i="7"/>
  <c r="F22" i="6"/>
  <c r="F124" i="7"/>
  <c r="G124" s="1"/>
  <c r="F27" i="6"/>
  <c r="F92" i="7"/>
  <c r="G92" s="1"/>
  <c r="F69"/>
  <c r="G69" s="1"/>
  <c r="F40" i="6"/>
  <c r="G219" i="7"/>
  <c r="D97" i="3"/>
  <c r="F59" i="6"/>
  <c r="F35"/>
  <c r="G72" i="7"/>
  <c r="F72" i="6"/>
  <c r="G320" i="7"/>
  <c r="G328"/>
  <c r="G294"/>
  <c r="F17" i="6"/>
  <c r="F106" i="7"/>
  <c r="G106" s="1"/>
  <c r="F342"/>
  <c r="C4" i="6"/>
  <c r="F13"/>
  <c r="F4" s="1"/>
  <c r="F61"/>
  <c r="F46" i="5"/>
  <c r="C5"/>
  <c r="D44"/>
  <c r="B352" i="7"/>
  <c r="E5" i="5"/>
  <c r="F39"/>
  <c r="E62"/>
  <c r="F62" s="1"/>
  <c r="G93" i="7"/>
  <c r="F63" i="6"/>
  <c r="G244" i="7"/>
  <c r="D243"/>
  <c r="B353"/>
  <c r="B351"/>
  <c r="D214"/>
  <c r="C68" i="6"/>
  <c r="M13" i="3" l="1"/>
  <c r="M19" s="1"/>
  <c r="M6"/>
  <c r="M17"/>
  <c r="D341" i="7"/>
  <c r="E114" s="1"/>
  <c r="F341"/>
  <c r="D4" i="3"/>
  <c r="I3" i="16" s="1"/>
  <c r="N9" i="3"/>
  <c r="H4"/>
  <c r="H103" s="1"/>
  <c r="G4"/>
  <c r="G103" s="1"/>
  <c r="G326" i="7"/>
  <c r="C14" i="6"/>
  <c r="F14" s="1"/>
  <c r="E87"/>
  <c r="G125" i="7"/>
  <c r="M7" i="3"/>
  <c r="F5" i="5"/>
  <c r="E87"/>
  <c r="B358" i="7"/>
  <c r="G243"/>
  <c r="F68" i="6"/>
  <c r="D60" i="5"/>
  <c r="D56"/>
  <c r="D73"/>
  <c r="D15"/>
  <c r="D31"/>
  <c r="D47"/>
  <c r="D68"/>
  <c r="D20"/>
  <c r="D36"/>
  <c r="D52"/>
  <c r="D78"/>
  <c r="D13"/>
  <c r="D29"/>
  <c r="D45"/>
  <c r="D70"/>
  <c r="D6"/>
  <c r="D22"/>
  <c r="D38"/>
  <c r="D54"/>
  <c r="D76"/>
  <c r="F86"/>
  <c r="D59"/>
  <c r="D11"/>
  <c r="D35"/>
  <c r="D55"/>
  <c r="D81"/>
  <c r="D24"/>
  <c r="D74"/>
  <c r="D17"/>
  <c r="D37"/>
  <c r="D66"/>
  <c r="D10"/>
  <c r="D30"/>
  <c r="D50"/>
  <c r="D80"/>
  <c r="D58"/>
  <c r="D19"/>
  <c r="D39"/>
  <c r="D64"/>
  <c r="D8"/>
  <c r="D28"/>
  <c r="D48"/>
  <c r="D82"/>
  <c r="D21"/>
  <c r="D41"/>
  <c r="D14"/>
  <c r="D34"/>
  <c r="D63"/>
  <c r="D57"/>
  <c r="D62"/>
  <c r="D23"/>
  <c r="D43"/>
  <c r="D72"/>
  <c r="D12"/>
  <c r="D32"/>
  <c r="D65"/>
  <c r="D86"/>
  <c r="D25"/>
  <c r="D49"/>
  <c r="D79"/>
  <c r="D18"/>
  <c r="D42"/>
  <c r="D67"/>
  <c r="D61"/>
  <c r="D77"/>
  <c r="D9"/>
  <c r="D26"/>
  <c r="D7"/>
  <c r="D16"/>
  <c r="D46"/>
  <c r="D27"/>
  <c r="D40"/>
  <c r="D53"/>
  <c r="D69"/>
  <c r="D33"/>
  <c r="D71"/>
  <c r="D51"/>
  <c r="D83"/>
  <c r="B357" i="7"/>
  <c r="G214"/>
  <c r="D5" i="5"/>
  <c r="I4" i="16"/>
  <c r="B361" i="7"/>
  <c r="G319"/>
  <c r="E300" l="1"/>
  <c r="E331"/>
  <c r="C86" i="6"/>
  <c r="M9" i="3"/>
  <c r="E130" i="7"/>
  <c r="E131"/>
  <c r="E127"/>
  <c r="E297"/>
  <c r="E128"/>
  <c r="E129"/>
  <c r="E337"/>
  <c r="E338"/>
  <c r="E339"/>
  <c r="E336"/>
  <c r="D104" i="3"/>
  <c r="D103"/>
  <c r="I5" i="16"/>
  <c r="I7" s="1"/>
  <c r="I14" s="1"/>
  <c r="E132" i="7"/>
  <c r="E134"/>
  <c r="E136"/>
  <c r="E138"/>
  <c r="E140"/>
  <c r="E142"/>
  <c r="E144"/>
  <c r="E146"/>
  <c r="E133"/>
  <c r="E135"/>
  <c r="E137"/>
  <c r="E139"/>
  <c r="E141"/>
  <c r="E143"/>
  <c r="E145"/>
  <c r="E147"/>
  <c r="G104" i="3"/>
  <c r="F75" l="1"/>
  <c r="F58"/>
  <c r="F83"/>
  <c r="F74"/>
  <c r="F20"/>
  <c r="F78"/>
  <c r="F4"/>
  <c r="F10"/>
  <c r="F30"/>
  <c r="F80"/>
  <c r="F91"/>
  <c r="F54"/>
  <c r="F3"/>
  <c r="F90"/>
  <c r="F98"/>
  <c r="F65"/>
  <c r="F62"/>
  <c r="F53"/>
  <c r="F45"/>
  <c r="F23"/>
  <c r="F42"/>
  <c r="F102"/>
  <c r="F79"/>
  <c r="F22"/>
  <c r="F28"/>
  <c r="F41"/>
  <c r="F82"/>
  <c r="F7"/>
  <c r="F70"/>
  <c r="F76"/>
  <c r="F46"/>
  <c r="F92"/>
  <c r="F64"/>
  <c r="F59"/>
  <c r="F66"/>
  <c r="F99"/>
  <c r="F29"/>
  <c r="F77"/>
  <c r="F89"/>
  <c r="F18"/>
  <c r="F26"/>
  <c r="F43"/>
  <c r="F51"/>
  <c r="F27"/>
  <c r="F52"/>
  <c r="F57"/>
  <c r="F95"/>
  <c r="F49"/>
  <c r="F11"/>
  <c r="F60"/>
  <c r="F71"/>
  <c r="F100"/>
  <c r="F25"/>
  <c r="F33"/>
  <c r="F34"/>
  <c r="F101"/>
  <c r="F6"/>
  <c r="F5"/>
  <c r="F81"/>
  <c r="F93"/>
  <c r="F12"/>
  <c r="F47"/>
  <c r="F94"/>
  <c r="F24"/>
  <c r="F37"/>
  <c r="F44"/>
  <c r="F61"/>
  <c r="F68"/>
  <c r="F63"/>
  <c r="F35"/>
  <c r="F38"/>
  <c r="F85"/>
  <c r="F50"/>
  <c r="F48"/>
  <c r="F40"/>
  <c r="F104"/>
  <c r="F86"/>
  <c r="F14"/>
  <c r="F9"/>
  <c r="F87"/>
  <c r="F72"/>
  <c r="F32"/>
  <c r="F39"/>
  <c r="F21"/>
  <c r="F97"/>
  <c r="F103"/>
  <c r="F88"/>
  <c r="F17"/>
  <c r="F96"/>
  <c r="F19"/>
  <c r="F13"/>
  <c r="F56"/>
  <c r="D106"/>
  <c r="F36"/>
  <c r="F15"/>
  <c r="F55"/>
  <c r="F67"/>
  <c r="F73"/>
  <c r="F31"/>
  <c r="H104"/>
  <c r="H106" s="1"/>
  <c r="G106"/>
  <c r="D43" i="6"/>
  <c r="D50"/>
  <c r="D44"/>
  <c r="D34"/>
  <c r="D86"/>
  <c r="D51"/>
  <c r="D61"/>
  <c r="D48"/>
  <c r="D71"/>
  <c r="D38"/>
  <c r="D73"/>
  <c r="D37"/>
  <c r="D78"/>
  <c r="D15"/>
  <c r="D75"/>
  <c r="D9"/>
  <c r="D8"/>
  <c r="D31"/>
  <c r="D77"/>
  <c r="D22"/>
  <c r="D82"/>
  <c r="D23"/>
  <c r="D79"/>
  <c r="D66"/>
  <c r="D46"/>
  <c r="D7"/>
  <c r="D24"/>
  <c r="D10"/>
  <c r="D39"/>
  <c r="D6"/>
  <c r="D29"/>
  <c r="D59"/>
  <c r="D36"/>
  <c r="D85"/>
  <c r="D84"/>
  <c r="D53"/>
  <c r="D33"/>
  <c r="D11"/>
  <c r="D47"/>
  <c r="D20"/>
  <c r="D69"/>
  <c r="D55"/>
  <c r="D76"/>
  <c r="D17"/>
  <c r="D83"/>
  <c r="D30"/>
  <c r="D57"/>
  <c r="D70"/>
  <c r="C87"/>
  <c r="D4"/>
  <c r="D13"/>
  <c r="D72"/>
  <c r="D63"/>
  <c r="D80"/>
  <c r="D54"/>
  <c r="D62"/>
  <c r="D40"/>
  <c r="D65"/>
  <c r="D19"/>
  <c r="D64"/>
  <c r="D18"/>
  <c r="D81"/>
  <c r="D35"/>
  <c r="D12"/>
  <c r="D21"/>
  <c r="D49"/>
  <c r="D41"/>
  <c r="D26"/>
  <c r="D28"/>
  <c r="D42"/>
  <c r="D5"/>
  <c r="D14"/>
  <c r="D45"/>
  <c r="D16"/>
  <c r="D74"/>
  <c r="D67"/>
  <c r="D27"/>
  <c r="D25"/>
  <c r="D56"/>
  <c r="D60"/>
  <c r="F86"/>
  <c r="D32"/>
  <c r="D58"/>
  <c r="D52"/>
  <c r="D68"/>
  <c r="C87" i="5"/>
  <c r="F87"/>
  <c r="F87" i="6" l="1"/>
  <c r="E334" i="7"/>
  <c r="E330"/>
  <c r="E273"/>
  <c r="E246"/>
  <c r="E39"/>
  <c r="E40"/>
  <c r="E176"/>
  <c r="E180"/>
  <c r="E184"/>
  <c r="E188"/>
  <c r="E220"/>
  <c r="E99"/>
  <c r="E26"/>
  <c r="E242"/>
  <c r="E313"/>
  <c r="E206"/>
  <c r="E326"/>
  <c r="E161"/>
  <c r="E37"/>
  <c r="E68"/>
  <c r="E216"/>
  <c r="E81"/>
  <c r="E47"/>
  <c r="E311"/>
  <c r="E164"/>
  <c r="E254"/>
  <c r="E34"/>
  <c r="E252"/>
  <c r="E77"/>
  <c r="E312"/>
  <c r="E86"/>
  <c r="E67"/>
  <c r="E65"/>
  <c r="E64"/>
  <c r="E226"/>
  <c r="E172"/>
  <c r="E25"/>
  <c r="E121"/>
  <c r="E229"/>
  <c r="E293"/>
  <c r="E295"/>
  <c r="E308"/>
  <c r="E96"/>
  <c r="E17"/>
  <c r="E14"/>
  <c r="E149"/>
  <c r="E62"/>
  <c r="E194"/>
  <c r="E117"/>
  <c r="E199"/>
  <c r="E341"/>
  <c r="E16"/>
  <c r="E322"/>
  <c r="E276"/>
  <c r="E304"/>
  <c r="E299"/>
  <c r="E69"/>
  <c r="E167"/>
  <c r="E238"/>
  <c r="E162"/>
  <c r="E269"/>
  <c r="E236"/>
  <c r="E61"/>
  <c r="E309"/>
  <c r="E198"/>
  <c r="E329"/>
  <c r="E270"/>
  <c r="E221"/>
  <c r="E111"/>
  <c r="E109"/>
  <c r="E41"/>
  <c r="E173"/>
  <c r="E177"/>
  <c r="E181"/>
  <c r="E185"/>
  <c r="E189"/>
  <c r="E13"/>
  <c r="E100"/>
  <c r="E31"/>
  <c r="E91"/>
  <c r="E324"/>
  <c r="E30"/>
  <c r="E284"/>
  <c r="E266"/>
  <c r="E107"/>
  <c r="E73"/>
  <c r="E82"/>
  <c r="E262"/>
  <c r="E76"/>
  <c r="E195"/>
  <c r="E151"/>
  <c r="E200"/>
  <c r="E218"/>
  <c r="E28"/>
  <c r="E316"/>
  <c r="E202"/>
  <c r="E203"/>
  <c r="E116"/>
  <c r="E97"/>
  <c r="E314"/>
  <c r="E118"/>
  <c r="E70"/>
  <c r="E59"/>
  <c r="E205"/>
  <c r="E294"/>
  <c r="E126"/>
  <c r="E22"/>
  <c r="E155"/>
  <c r="E263"/>
  <c r="E303"/>
  <c r="E79"/>
  <c r="E72"/>
  <c r="E265"/>
  <c r="E251"/>
  <c r="E317"/>
  <c r="E66"/>
  <c r="E290"/>
  <c r="E301"/>
  <c r="E74"/>
  <c r="E193"/>
  <c r="E217"/>
  <c r="E240"/>
  <c r="E209"/>
  <c r="E75"/>
  <c r="E257"/>
  <c r="E170"/>
  <c r="E306"/>
  <c r="E225"/>
  <c r="E253"/>
  <c r="E286"/>
  <c r="E35"/>
  <c r="E15"/>
  <c r="E315"/>
  <c r="E207"/>
  <c r="E224"/>
  <c r="E192"/>
  <c r="E78"/>
  <c r="E125"/>
  <c r="E52"/>
  <c r="E248"/>
  <c r="E335"/>
  <c r="E298"/>
  <c r="E271"/>
  <c r="E223"/>
  <c r="E110"/>
  <c r="E174"/>
  <c r="E178"/>
  <c r="E182"/>
  <c r="E186"/>
  <c r="E190"/>
  <c r="E340"/>
  <c r="E288"/>
  <c r="E247"/>
  <c r="E53"/>
  <c r="E201"/>
  <c r="E261"/>
  <c r="E268"/>
  <c r="E154"/>
  <c r="E60"/>
  <c r="E323"/>
  <c r="E115"/>
  <c r="E302"/>
  <c r="E57"/>
  <c r="E249"/>
  <c r="E165"/>
  <c r="E24"/>
  <c r="E232"/>
  <c r="E289"/>
  <c r="E94"/>
  <c r="E27"/>
  <c r="E158"/>
  <c r="E152"/>
  <c r="E156"/>
  <c r="E196"/>
  <c r="E327"/>
  <c r="E92"/>
  <c r="E83"/>
  <c r="E283"/>
  <c r="E7"/>
  <c r="E148"/>
  <c r="E56"/>
  <c r="E280"/>
  <c r="E44"/>
  <c r="E212"/>
  <c r="E159"/>
  <c r="E12"/>
  <c r="E88"/>
  <c r="E51"/>
  <c r="E20"/>
  <c r="E328"/>
  <c r="E241"/>
  <c r="E305"/>
  <c r="E230"/>
  <c r="E63"/>
  <c r="E287"/>
  <c r="E123"/>
  <c r="E321"/>
  <c r="E260"/>
  <c r="E33"/>
  <c r="E11"/>
  <c r="E239"/>
  <c r="E103"/>
  <c r="E49"/>
  <c r="E333"/>
  <c r="E272"/>
  <c r="E245"/>
  <c r="E222"/>
  <c r="E108"/>
  <c r="E43"/>
  <c r="E38"/>
  <c r="E175"/>
  <c r="E179"/>
  <c r="E183"/>
  <c r="E187"/>
  <c r="E191"/>
  <c r="E93"/>
  <c r="E163"/>
  <c r="E275"/>
  <c r="E320"/>
  <c r="E228"/>
  <c r="E227"/>
  <c r="E157"/>
  <c r="E104"/>
  <c r="E279"/>
  <c r="E274"/>
  <c r="E267"/>
  <c r="E23"/>
  <c r="E256"/>
  <c r="E197"/>
  <c r="E285"/>
  <c r="E166"/>
  <c r="E10"/>
  <c r="E89"/>
  <c r="E255"/>
  <c r="E119"/>
  <c r="E204"/>
  <c r="E171"/>
  <c r="E102"/>
  <c r="E307"/>
  <c r="E50"/>
  <c r="E264"/>
  <c r="E237"/>
  <c r="E153"/>
  <c r="E42"/>
  <c r="E36"/>
  <c r="E45"/>
  <c r="E211"/>
  <c r="E71"/>
  <c r="E105"/>
  <c r="E231"/>
  <c r="E87"/>
  <c r="E101"/>
  <c r="E325"/>
  <c r="E150"/>
  <c r="E18"/>
  <c r="E292"/>
  <c r="E85"/>
  <c r="E46"/>
  <c r="E29"/>
  <c r="E19"/>
  <c r="E5"/>
  <c r="E282"/>
  <c r="E80"/>
  <c r="E208"/>
  <c r="D342"/>
  <c r="E98"/>
  <c r="E90"/>
  <c r="E84"/>
  <c r="E234"/>
  <c r="E21"/>
  <c r="E250"/>
  <c r="E95"/>
  <c r="E169"/>
  <c r="E215"/>
  <c r="E55"/>
  <c r="E318"/>
  <c r="E296"/>
  <c r="E213"/>
  <c r="E210"/>
  <c r="E291"/>
  <c r="E113"/>
  <c r="E58"/>
  <c r="E6"/>
  <c r="E281"/>
  <c r="E310"/>
  <c r="E235"/>
  <c r="E168"/>
  <c r="E214"/>
  <c r="E243"/>
  <c r="E160"/>
  <c r="E122"/>
  <c r="E244"/>
  <c r="E233"/>
  <c r="E259"/>
  <c r="E120"/>
  <c r="E54"/>
  <c r="E278"/>
  <c r="E277"/>
  <c r="E219"/>
  <c r="E124"/>
  <c r="E319"/>
  <c r="E106"/>
  <c r="E32"/>
  <c r="E258"/>
  <c r="E112"/>
  <c r="G341"/>
  <c r="G342" s="1"/>
  <c r="E332"/>
  <c r="J144" i="8" l="1"/>
  <c r="J160" s="1"/>
  <c r="J424" s="1"/>
  <c r="J521" s="1"/>
  <c r="J522" s="1"/>
</calcChain>
</file>

<file path=xl/comments1.xml><?xml version="1.0" encoding="utf-8"?>
<comments xmlns="http://schemas.openxmlformats.org/spreadsheetml/2006/main">
  <authors>
    <author>PCBM</author>
    <author>Branka</author>
    <author>LPA</author>
    <author/>
  </authors>
  <commentList>
    <comment ref="G47" authorId="0">
      <text>
        <r>
          <rPr>
            <b/>
            <sz val="9"/>
            <color indexed="81"/>
            <rFont val="Tahoma"/>
            <family val="2"/>
            <charset val="238"/>
          </rPr>
          <t>PCBM:</t>
        </r>
        <r>
          <rPr>
            <sz val="9"/>
            <color indexed="81"/>
            <rFont val="Tahoma"/>
            <family val="2"/>
            <charset val="238"/>
          </rPr>
          <t xml:space="preserve">
донације ХЕЛП 1 код пољопривреде на заједничким пројектима, и 6 за пројекте стамбеног збрињавања рома i 10 za pol. Zaposljavanja od evropskih fovdova, 18 милиона учешће Екшчејнџ програма у пројекту</t>
        </r>
      </text>
    </comment>
    <comment ref="D48" authorId="0">
      <text>
        <r>
          <rPr>
            <b/>
            <sz val="9"/>
            <color indexed="81"/>
            <rFont val="Tahoma"/>
            <family val="2"/>
            <charset val="238"/>
          </rPr>
          <t>PCBM:</t>
        </r>
        <r>
          <rPr>
            <sz val="9"/>
            <color indexed="81"/>
            <rFont val="Tahoma"/>
            <family val="2"/>
            <charset val="238"/>
          </rPr>
          <t xml:space="preserve">
УНДП донација од 1 милион еура за објекте јавне намене - зграда општине, центар културе и спортска хала</t>
        </r>
      </text>
    </comment>
    <comment ref="G48" authorId="0">
      <text>
        <r>
          <rPr>
            <b/>
            <sz val="9"/>
            <color indexed="81"/>
            <rFont val="Tahoma"/>
            <family val="2"/>
            <charset val="238"/>
          </rPr>
          <t>PCBM:</t>
        </r>
        <r>
          <rPr>
            <sz val="9"/>
            <color indexed="81"/>
            <rFont val="Tahoma"/>
            <family val="2"/>
            <charset val="238"/>
          </rPr>
          <t xml:space="preserve">
Донација за ЦБЦ програм Вома за водовод, 190.500Еура</t>
        </r>
      </text>
    </comment>
    <comment ref="D50" authorId="0">
      <text>
        <r>
          <rPr>
            <b/>
            <sz val="9"/>
            <color indexed="81"/>
            <rFont val="Tahoma"/>
            <family val="2"/>
            <charset val="238"/>
          </rPr>
          <t>PCBM:</t>
        </r>
        <r>
          <rPr>
            <sz val="9"/>
            <color indexed="81"/>
            <rFont val="Tahoma"/>
            <family val="2"/>
            <charset val="238"/>
          </rPr>
          <t xml:space="preserve">
270 општи ненаменски </t>
        </r>
      </text>
    </comment>
    <comment ref="D51" authorId="0">
      <text>
        <r>
          <rPr>
            <b/>
            <sz val="9"/>
            <color indexed="81"/>
            <rFont val="Tahoma"/>
            <family val="2"/>
            <charset val="238"/>
          </rPr>
          <t>PCBM:</t>
        </r>
        <r>
          <rPr>
            <sz val="9"/>
            <color indexed="81"/>
            <rFont val="Tahoma"/>
            <family val="2"/>
            <charset val="238"/>
          </rPr>
          <t xml:space="preserve">
8,4 за вртић,  4,75 за социјалну заштиту, 13.64 за  део пројекта популационе политикеи 5,1 грантови за жене</t>
        </r>
      </text>
    </comment>
    <comment ref="G51" authorId="1">
      <text>
        <r>
          <rPr>
            <b/>
            <sz val="8"/>
            <color indexed="81"/>
            <rFont val="Tahoma"/>
            <family val="2"/>
          </rPr>
          <t>Branka:</t>
        </r>
        <r>
          <rPr>
            <sz val="8"/>
            <color indexed="81"/>
            <rFont val="Tahoma"/>
            <family val="2"/>
          </rPr>
          <t xml:space="preserve">
наменски трансфер НСЗ </t>
        </r>
      </text>
    </comment>
    <comment ref="D52" authorId="0">
      <text>
        <r>
          <rPr>
            <b/>
            <sz val="9"/>
            <color indexed="81"/>
            <rFont val="Tahoma"/>
            <family val="2"/>
            <charset val="238"/>
          </rPr>
          <t>PCBM:</t>
        </r>
        <r>
          <rPr>
            <sz val="9"/>
            <color indexed="81"/>
            <rFont val="Tahoma"/>
            <family val="2"/>
            <charset val="238"/>
          </rPr>
          <t xml:space="preserve">
19,2 ПДВ  за пројекте канцеларије за јавна улагања - ош Бранко Р. Министарство, </t>
        </r>
      </text>
    </comment>
    <comment ref="G52" authorId="1">
      <text>
        <r>
          <rPr>
            <b/>
            <sz val="8"/>
            <color indexed="81"/>
            <rFont val="Tahoma"/>
            <family val="2"/>
          </rPr>
          <t>Branka:</t>
        </r>
        <r>
          <rPr>
            <sz val="8"/>
            <color indexed="81"/>
            <rFont val="Tahoma"/>
            <family val="2"/>
          </rPr>
          <t xml:space="preserve">
17 за енергетску ефискасност зграде опптине, 5,5 пут Брестово Јагњило, 1,7 објекат вртића, 2 водоснабдевање Мазараћ и 98 за ОШ Бранко у нето износу који се плаћа извођачу
5,1 милион за тениске терене,</t>
        </r>
      </text>
    </comment>
    <comment ref="C66" authorId="2">
      <text>
        <r>
          <rPr>
            <b/>
            <sz val="9"/>
            <color indexed="81"/>
            <rFont val="Tahoma"/>
            <family val="2"/>
          </rPr>
          <t>LPA:</t>
        </r>
        <r>
          <rPr>
            <sz val="9"/>
            <color indexed="81"/>
            <rFont val="Tahoma"/>
            <family val="2"/>
          </rPr>
          <t xml:space="preserve">
ukinuto?</t>
        </r>
      </text>
    </comment>
    <comment ref="G75" authorId="1">
      <text>
        <r>
          <rPr>
            <b/>
            <sz val="8"/>
            <color indexed="81"/>
            <rFont val="Tahoma"/>
            <family val="2"/>
          </rPr>
          <t>Branka:</t>
        </r>
        <r>
          <rPr>
            <sz val="8"/>
            <color indexed="81"/>
            <rFont val="Tahoma"/>
            <family val="2"/>
          </rPr>
          <t xml:space="preserve">
усц куњак сопствени приходи установе</t>
        </r>
      </text>
    </comment>
    <comment ref="C77" authorId="3">
      <text>
        <r>
          <rPr>
            <b/>
            <sz val="8"/>
            <color indexed="8"/>
            <rFont val="Tahoma"/>
            <family val="2"/>
            <charset val="204"/>
          </rPr>
          <t xml:space="preserve">lpa:
</t>
        </r>
        <r>
          <rPr>
            <sz val="8"/>
            <color indexed="8"/>
            <rFont val="Tahoma"/>
            <family val="2"/>
            <charset val="204"/>
          </rPr>
          <t>50% se koristi za održavanje saobraćajne signalizacije ( Zakon o bezbednosti saobraćaja na putevima)</t>
        </r>
      </text>
    </comment>
    <comment ref="D81" authorId="0">
      <text>
        <r>
          <rPr>
            <b/>
            <sz val="9"/>
            <color indexed="81"/>
            <rFont val="Tahoma"/>
            <family val="2"/>
            <charset val="238"/>
          </rPr>
          <t>PCBM:</t>
        </r>
        <r>
          <rPr>
            <sz val="9"/>
            <color indexed="81"/>
            <rFont val="Tahoma"/>
            <family val="2"/>
            <charset val="238"/>
          </rPr>
          <t xml:space="preserve">
путеви србије за петљу у грамађу</t>
        </r>
      </text>
    </comment>
    <comment ref="G81" authorId="0">
      <text>
        <r>
          <rPr>
            <b/>
            <sz val="9"/>
            <color indexed="81"/>
            <rFont val="Tahoma"/>
            <family val="2"/>
            <charset val="238"/>
          </rPr>
          <t>PCBM:</t>
        </r>
        <r>
          <rPr>
            <sz val="9"/>
            <color indexed="81"/>
            <rFont val="Tahoma"/>
            <family val="2"/>
            <charset val="238"/>
          </rPr>
          <t xml:space="preserve">
ИНТЕГРАЛ ЗА РАДОВЕ У ЖИТОРАЂУ</t>
        </r>
      </text>
    </comment>
    <comment ref="D83" authorId="0">
      <text>
        <r>
          <rPr>
            <b/>
            <sz val="9"/>
            <color indexed="81"/>
            <rFont val="Tahoma"/>
            <family val="2"/>
            <charset val="238"/>
          </rPr>
          <t>PCBM:</t>
        </r>
        <r>
          <rPr>
            <sz val="9"/>
            <color indexed="81"/>
            <rFont val="Tahoma"/>
            <family val="2"/>
            <charset val="238"/>
          </rPr>
          <t xml:space="preserve">
3,75 повраћај чланарине од РАСа</t>
        </r>
      </text>
    </comment>
    <comment ref="D94" authorId="0">
      <text>
        <r>
          <rPr>
            <b/>
            <sz val="9"/>
            <color indexed="81"/>
            <rFont val="Tahoma"/>
            <family val="2"/>
            <charset val="238"/>
          </rPr>
          <t>PCBM:</t>
        </r>
        <r>
          <rPr>
            <sz val="9"/>
            <color indexed="81"/>
            <rFont val="Tahoma"/>
            <family val="2"/>
            <charset val="238"/>
          </rPr>
          <t xml:space="preserve">
за аутомобиле - бела шкода,  4 ладе ниве и ауди</t>
        </r>
      </text>
    </comment>
    <comment ref="D96" authorId="0">
      <text>
        <r>
          <rPr>
            <b/>
            <sz val="9"/>
            <color indexed="81"/>
            <rFont val="Tahoma"/>
            <family val="2"/>
            <charset val="238"/>
          </rPr>
          <t>PCBM:</t>
        </r>
        <r>
          <rPr>
            <sz val="9"/>
            <color indexed="81"/>
            <rFont val="Tahoma"/>
            <family val="2"/>
            <charset val="238"/>
          </rPr>
          <t xml:space="preserve">
продаја земљишта у појасу индустријске зоне у Лепеници - Владичин Хан</t>
        </r>
      </text>
    </comment>
  </commentList>
</comments>
</file>

<file path=xl/comments2.xml><?xml version="1.0" encoding="utf-8"?>
<comments xmlns="http://schemas.openxmlformats.org/spreadsheetml/2006/main">
  <authors>
    <author>Branka</author>
    <author>PCBM</author>
    <author>REDCROSS2</author>
  </authors>
  <commentList>
    <comment ref="G7" authorId="0">
      <text>
        <r>
          <rPr>
            <b/>
            <sz val="8"/>
            <color indexed="81"/>
            <rFont val="Tahoma"/>
            <family val="2"/>
          </rPr>
          <t>Branka:</t>
        </r>
        <r>
          <rPr>
            <sz val="8"/>
            <color indexed="81"/>
            <rFont val="Tahoma"/>
            <family val="2"/>
          </rPr>
          <t xml:space="preserve">
мобилни телефони</t>
        </r>
      </text>
    </comment>
    <comment ref="H13" authorId="1">
      <text>
        <r>
          <rPr>
            <b/>
            <sz val="9"/>
            <color indexed="81"/>
            <rFont val="Tahoma"/>
            <family val="2"/>
            <charset val="238"/>
          </rPr>
          <t>PCBM:</t>
        </r>
        <r>
          <rPr>
            <sz val="9"/>
            <color indexed="81"/>
            <rFont val="Tahoma"/>
            <family val="2"/>
            <charset val="238"/>
          </rPr>
          <t xml:space="preserve">
0,105% пореских прихода</t>
        </r>
      </text>
    </comment>
    <comment ref="H23" authorId="0">
      <text>
        <r>
          <rPr>
            <b/>
            <sz val="8"/>
            <color indexed="81"/>
            <rFont val="Tahoma"/>
            <family val="2"/>
          </rPr>
          <t>Branka:</t>
        </r>
        <r>
          <rPr>
            <sz val="8"/>
            <color indexed="81"/>
            <rFont val="Tahoma"/>
            <family val="2"/>
          </rPr>
          <t xml:space="preserve">
мобилни телефони већника</t>
        </r>
      </text>
    </comment>
    <comment ref="H39" authorId="0">
      <text>
        <r>
          <rPr>
            <b/>
            <sz val="8"/>
            <color indexed="81"/>
            <rFont val="Tahoma"/>
            <family val="2"/>
          </rPr>
          <t>Branka:</t>
        </r>
        <r>
          <rPr>
            <sz val="8"/>
            <color indexed="81"/>
            <rFont val="Tahoma"/>
            <family val="2"/>
          </rPr>
          <t xml:space="preserve">
мобилни телефони кабинета председника</t>
        </r>
      </text>
    </comment>
    <comment ref="K69" authorId="1">
      <text>
        <r>
          <rPr>
            <b/>
            <sz val="9"/>
            <color indexed="81"/>
            <rFont val="Tahoma"/>
            <family val="2"/>
            <charset val="238"/>
          </rPr>
          <t>PCBM:</t>
        </r>
        <r>
          <rPr>
            <sz val="9"/>
            <color indexed="81"/>
            <rFont val="Tahoma"/>
            <family val="2"/>
            <charset val="238"/>
          </rPr>
          <t xml:space="preserve">
слађан тражи још 300-500</t>
        </r>
      </text>
    </comment>
    <comment ref="H74" authorId="1">
      <text>
        <r>
          <rPr>
            <b/>
            <sz val="9"/>
            <color indexed="81"/>
            <rFont val="Tahoma"/>
            <family val="2"/>
            <charset val="238"/>
          </rPr>
          <t>PCBM:</t>
        </r>
        <r>
          <rPr>
            <sz val="9"/>
            <color indexed="81"/>
            <rFont val="Tahoma"/>
            <family val="2"/>
            <charset val="238"/>
          </rPr>
          <t xml:space="preserve">
накнаде за новорођенчад и евентуално нешто друго</t>
        </r>
      </text>
    </comment>
    <comment ref="I83" authorId="1">
      <text>
        <r>
          <rPr>
            <b/>
            <sz val="9"/>
            <color indexed="81"/>
            <rFont val="Tahoma"/>
            <family val="2"/>
            <charset val="238"/>
          </rPr>
          <t>PCBM:</t>
        </r>
        <r>
          <rPr>
            <sz val="9"/>
            <color indexed="81"/>
            <rFont val="Tahoma"/>
            <family val="2"/>
            <charset val="238"/>
          </rPr>
          <t xml:space="preserve">
sa ministarstvom privrede Gradimo zajedno</t>
        </r>
      </text>
    </comment>
    <comment ref="H91" authorId="2">
      <text>
        <r>
          <rPr>
            <b/>
            <sz val="8"/>
            <color indexed="81"/>
            <rFont val="Tahoma"/>
            <family val="2"/>
          </rPr>
          <t>REDCROSS2:</t>
        </r>
        <r>
          <rPr>
            <sz val="8"/>
            <color indexed="81"/>
            <rFont val="Tahoma"/>
            <family val="2"/>
          </rPr>
          <t xml:space="preserve">
interresorna I ostalo</t>
        </r>
      </text>
    </comment>
    <comment ref="H92" authorId="2">
      <text>
        <r>
          <rPr>
            <b/>
            <sz val="8"/>
            <color indexed="81"/>
            <rFont val="Tahoma"/>
            <family val="2"/>
          </rPr>
          <t>REDCROSS2:</t>
        </r>
        <r>
          <rPr>
            <sz val="8"/>
            <color indexed="81"/>
            <rFont val="Tahoma"/>
            <family val="2"/>
          </rPr>
          <t xml:space="preserve">
за пројекте према ромима у циљу побољшања услова становања здружена средства за НВО
ИЗВОР 01
</t>
        </r>
      </text>
    </comment>
    <comment ref="F102" authorId="1">
      <text>
        <r>
          <rPr>
            <b/>
            <sz val="9"/>
            <color indexed="81"/>
            <rFont val="Tahoma"/>
            <family val="2"/>
            <charset val="238"/>
          </rPr>
          <t>PCBM:</t>
        </r>
        <r>
          <rPr>
            <sz val="9"/>
            <color indexed="81"/>
            <rFont val="Tahoma"/>
            <family val="2"/>
            <charset val="238"/>
          </rPr>
          <t xml:space="preserve">
</t>
        </r>
      </text>
    </comment>
    <comment ref="H102" authorId="1">
      <text>
        <r>
          <rPr>
            <b/>
            <sz val="9"/>
            <color indexed="81"/>
            <rFont val="Tahoma"/>
            <family val="2"/>
            <charset val="238"/>
          </rPr>
          <t>PCBM:тражили 5,463</t>
        </r>
      </text>
    </comment>
    <comment ref="K102" authorId="1">
      <text>
        <r>
          <rPr>
            <b/>
            <sz val="9"/>
            <color indexed="81"/>
            <rFont val="Tahoma"/>
            <family val="2"/>
            <charset val="238"/>
          </rPr>
          <t>PCBM:</t>
        </r>
        <r>
          <rPr>
            <sz val="9"/>
            <color indexed="81"/>
            <rFont val="Tahoma"/>
            <family val="2"/>
            <charset val="238"/>
          </rPr>
          <t xml:space="preserve">
за солидарну помоћ</t>
        </r>
      </text>
    </comment>
    <comment ref="H117" authorId="1">
      <text>
        <r>
          <rPr>
            <b/>
            <sz val="9"/>
            <color indexed="81"/>
            <rFont val="Tahoma"/>
            <family val="2"/>
            <charset val="238"/>
          </rPr>
          <t>PCBM:</t>
        </r>
        <r>
          <rPr>
            <sz val="9"/>
            <color indexed="81"/>
            <rFont val="Tahoma"/>
            <family val="2"/>
            <charset val="238"/>
          </rPr>
          <t xml:space="preserve">
ИЗВОР 09</t>
        </r>
      </text>
    </comment>
    <comment ref="H129" authorId="0">
      <text>
        <r>
          <rPr>
            <b/>
            <sz val="8"/>
            <color indexed="81"/>
            <rFont val="Tahoma"/>
            <family val="2"/>
          </rPr>
          <t>Branka:</t>
        </r>
        <r>
          <rPr>
            <sz val="8"/>
            <color indexed="81"/>
            <rFont val="Tahoma"/>
            <family val="2"/>
          </rPr>
          <t xml:space="preserve">
и мобилни телефони радника и нова централа</t>
        </r>
      </text>
    </comment>
    <comment ref="H153" authorId="1">
      <text>
        <r>
          <rPr>
            <b/>
            <sz val="9"/>
            <color indexed="81"/>
            <rFont val="Tahoma"/>
            <family val="2"/>
            <charset val="238"/>
          </rPr>
          <t>PCBM:</t>
        </r>
        <r>
          <rPr>
            <sz val="9"/>
            <color indexed="81"/>
            <rFont val="Tahoma"/>
            <family val="2"/>
            <charset val="238"/>
          </rPr>
          <t xml:space="preserve">
највише 4% од (7+8)</t>
        </r>
      </text>
    </comment>
    <comment ref="H158" authorId="1">
      <text>
        <r>
          <rPr>
            <b/>
            <sz val="9"/>
            <color indexed="81"/>
            <rFont val="Tahoma"/>
            <family val="2"/>
            <charset val="238"/>
          </rPr>
          <t>PCBM:</t>
        </r>
        <r>
          <rPr>
            <sz val="9"/>
            <color indexed="81"/>
            <rFont val="Tahoma"/>
            <family val="2"/>
            <charset val="238"/>
          </rPr>
          <t xml:space="preserve">
највише 0,5% од (7+8)</t>
        </r>
      </text>
    </comment>
    <comment ref="K191" authorId="1">
      <text>
        <r>
          <rPr>
            <b/>
            <sz val="9"/>
            <color indexed="81"/>
            <rFont val="Tahoma"/>
            <family val="2"/>
            <charset val="238"/>
          </rPr>
          <t>PCBM:</t>
        </r>
        <r>
          <rPr>
            <sz val="9"/>
            <color indexed="81"/>
            <rFont val="Tahoma"/>
            <family val="2"/>
            <charset val="238"/>
          </rPr>
          <t xml:space="preserve">
verovatno ce se placati u narednoj godini zbog izvora finansiranja</t>
        </r>
      </text>
    </comment>
    <comment ref="H232" authorId="1">
      <text>
        <r>
          <rPr>
            <sz val="9"/>
            <color indexed="81"/>
            <rFont val="Tahoma"/>
            <family val="2"/>
            <charset val="238"/>
          </rPr>
          <t>два путна правца у МЗ Житорађа и то Л - 535метара, закон о јавним путевима третира као периодично одржавање</t>
        </r>
      </text>
    </comment>
    <comment ref="H330" authorId="1">
      <text>
        <r>
          <rPr>
            <b/>
            <sz val="9"/>
            <color indexed="81"/>
            <rFont val="Tahoma"/>
            <family val="2"/>
            <charset val="238"/>
          </rPr>
          <t>PCBM:</t>
        </r>
        <r>
          <rPr>
            <sz val="9"/>
            <color indexed="81"/>
            <rFont val="Tahoma"/>
            <family val="2"/>
            <charset val="238"/>
          </rPr>
          <t xml:space="preserve">
ЦЕО НА ИЗВОРУ 09</t>
        </r>
      </text>
    </comment>
    <comment ref="F348" authorId="1">
      <text>
        <r>
          <rPr>
            <b/>
            <sz val="9"/>
            <color indexed="81"/>
            <rFont val="Tahoma"/>
            <family val="2"/>
            <charset val="238"/>
          </rPr>
          <t>PCBM:</t>
        </r>
        <r>
          <rPr>
            <sz val="9"/>
            <color indexed="81"/>
            <rFont val="Tahoma"/>
            <family val="2"/>
            <charset val="238"/>
          </rPr>
          <t xml:space="preserve">
</t>
        </r>
      </text>
    </comment>
    <comment ref="K348" authorId="1">
      <text>
        <r>
          <rPr>
            <b/>
            <sz val="9"/>
            <color indexed="81"/>
            <rFont val="Tahoma"/>
            <family val="2"/>
            <charset val="238"/>
          </rPr>
          <t>PCBM:</t>
        </r>
        <r>
          <rPr>
            <sz val="9"/>
            <color indexed="81"/>
            <rFont val="Tahoma"/>
            <family val="2"/>
            <charset val="238"/>
          </rPr>
          <t xml:space="preserve">
ТРАЖИЛИ 6,1</t>
        </r>
      </text>
    </comment>
    <comment ref="H363" authorId="1">
      <text>
        <r>
          <rPr>
            <b/>
            <sz val="9"/>
            <color indexed="81"/>
            <rFont val="Tahoma"/>
            <family val="2"/>
            <charset val="238"/>
          </rPr>
          <t>PCBM:</t>
        </r>
        <r>
          <rPr>
            <sz val="9"/>
            <color indexed="81"/>
            <rFont val="Tahoma"/>
            <family val="2"/>
            <charset val="238"/>
          </rPr>
          <t xml:space="preserve">
пројекат са министарством трговине и туризма, они дају 15 милиона а ми 9,1 за радова и још за остале трошкове који настану</t>
        </r>
      </text>
    </comment>
    <comment ref="K408" authorId="1">
      <text>
        <r>
          <rPr>
            <b/>
            <sz val="9"/>
            <color indexed="81"/>
            <rFont val="Tahoma"/>
            <family val="2"/>
            <charset val="238"/>
          </rPr>
          <t>PCBM:</t>
        </r>
        <r>
          <rPr>
            <sz val="9"/>
            <color indexed="81"/>
            <rFont val="Tahoma"/>
            <family val="2"/>
            <charset val="238"/>
          </rPr>
          <t xml:space="preserve">
dodato 1,2 za sveti sava i to 0,9 buja bau i 0,3 mreze и 0.6 бранко</t>
        </r>
      </text>
    </comment>
    <comment ref="K420" authorId="1">
      <text>
        <r>
          <rPr>
            <b/>
            <sz val="9"/>
            <color indexed="81"/>
            <rFont val="Tahoma"/>
            <family val="2"/>
            <charset val="238"/>
          </rPr>
          <t>PCBM:</t>
        </r>
        <r>
          <rPr>
            <sz val="9"/>
            <color indexed="81"/>
            <rFont val="Tahoma"/>
            <family val="2"/>
            <charset val="238"/>
          </rPr>
          <t xml:space="preserve">
додато по 500 на сваку школу за мокри чвор</t>
        </r>
      </text>
    </comment>
    <comment ref="H512" authorId="1">
      <text>
        <r>
          <rPr>
            <b/>
            <sz val="9"/>
            <color indexed="81"/>
            <rFont val="Tahoma"/>
            <family val="2"/>
            <charset val="238"/>
          </rPr>
          <t>PCBM:</t>
        </r>
        <r>
          <rPr>
            <sz val="9"/>
            <color indexed="81"/>
            <rFont val="Tahoma"/>
            <family val="2"/>
            <charset val="238"/>
          </rPr>
          <t xml:space="preserve">
МЗ стубал, јастребац, бачвиште и владичин хан. Додаје се и Мањак са 423 - 270 и 421 -20</t>
        </r>
      </text>
    </comment>
    <comment ref="K517" authorId="1">
      <text>
        <r>
          <rPr>
            <b/>
            <sz val="9"/>
            <color indexed="81"/>
            <rFont val="Tahoma"/>
            <family val="2"/>
            <charset val="238"/>
          </rPr>
          <t>PCBM:</t>
        </r>
        <r>
          <rPr>
            <sz val="9"/>
            <color indexed="81"/>
            <rFont val="Tahoma"/>
            <family val="2"/>
            <charset val="238"/>
          </rPr>
          <t xml:space="preserve">
</t>
        </r>
      </text>
    </comment>
  </commentList>
</comments>
</file>

<file path=xl/comments3.xml><?xml version="1.0" encoding="utf-8"?>
<comments xmlns="http://schemas.openxmlformats.org/spreadsheetml/2006/main">
  <authors>
    <author>Branka</author>
    <author>PCBM</author>
    <author>MX</author>
    <author>REDCROSS2</author>
  </authors>
  <commentList>
    <comment ref="C4" authorId="0">
      <text>
        <r>
          <rPr>
            <b/>
            <sz val="8"/>
            <color indexed="81"/>
            <rFont val="Tahoma"/>
            <family val="2"/>
          </rPr>
          <t>Branka:</t>
        </r>
        <r>
          <rPr>
            <sz val="8"/>
            <color indexed="81"/>
            <rFont val="Tahoma"/>
            <family val="2"/>
          </rPr>
          <t xml:space="preserve">
мобилни телефони</t>
        </r>
      </text>
    </comment>
    <comment ref="C6" authorId="0">
      <text>
        <r>
          <rPr>
            <b/>
            <sz val="8"/>
            <color indexed="81"/>
            <rFont val="Tahoma"/>
            <family val="2"/>
          </rPr>
          <t>Branka:</t>
        </r>
        <r>
          <rPr>
            <sz val="8"/>
            <color indexed="81"/>
            <rFont val="Tahoma"/>
            <family val="2"/>
          </rPr>
          <t xml:space="preserve">
и ОИ Комисија,, реклама, репрез.1,2 накнаде одборницима по налогу ревизора 1,200.000, паушал Микију и Данијели 1,200.000, информисање 500 и Часлав 400</t>
        </r>
      </text>
    </comment>
    <comment ref="D10" authorId="1">
      <text>
        <r>
          <rPr>
            <b/>
            <sz val="9"/>
            <color indexed="81"/>
            <rFont val="Tahoma"/>
            <family val="2"/>
            <charset val="238"/>
          </rPr>
          <t>PCBM:</t>
        </r>
        <r>
          <rPr>
            <sz val="9"/>
            <color indexed="81"/>
            <rFont val="Tahoma"/>
            <family val="2"/>
            <charset val="238"/>
          </rPr>
          <t xml:space="preserve">
0,105% пореских прихода</t>
        </r>
      </text>
    </comment>
    <comment ref="D12" authorId="0">
      <text>
        <r>
          <rPr>
            <b/>
            <sz val="8"/>
            <color indexed="81"/>
            <rFont val="Tahoma"/>
            <family val="2"/>
          </rPr>
          <t>Branka:</t>
        </r>
        <r>
          <rPr>
            <sz val="8"/>
            <color indexed="81"/>
            <rFont val="Tahoma"/>
            <family val="2"/>
          </rPr>
          <t xml:space="preserve">
мобилни телефони већника</t>
        </r>
      </text>
    </comment>
    <comment ref="D21" authorId="0">
      <text>
        <r>
          <rPr>
            <b/>
            <sz val="8"/>
            <color indexed="81"/>
            <rFont val="Tahoma"/>
            <family val="2"/>
          </rPr>
          <t>Branka:</t>
        </r>
        <r>
          <rPr>
            <sz val="8"/>
            <color indexed="81"/>
            <rFont val="Tahoma"/>
            <family val="2"/>
          </rPr>
          <t xml:space="preserve">
мобилни телефони кабинета председника</t>
        </r>
      </text>
    </comment>
    <comment ref="C24" authorId="0">
      <text>
        <r>
          <rPr>
            <b/>
            <sz val="8"/>
            <color indexed="81"/>
            <rFont val="Tahoma"/>
            <family val="2"/>
          </rPr>
          <t>Branka:</t>
        </r>
        <r>
          <rPr>
            <sz val="8"/>
            <color indexed="81"/>
            <rFont val="Tahoma"/>
            <family val="2"/>
          </rPr>
          <t xml:space="preserve">
romski koordinator</t>
        </r>
      </text>
    </comment>
    <comment ref="D38" authorId="1">
      <text>
        <r>
          <rPr>
            <b/>
            <sz val="9"/>
            <color indexed="81"/>
            <rFont val="Tahoma"/>
            <family val="2"/>
            <charset val="238"/>
          </rPr>
          <t>PCBM:</t>
        </r>
        <r>
          <rPr>
            <sz val="9"/>
            <color indexed="81"/>
            <rFont val="Tahoma"/>
            <family val="2"/>
            <charset val="238"/>
          </rPr>
          <t xml:space="preserve">
довршетак пројекта у донацији Фондације за отворено друштво</t>
        </r>
      </text>
    </comment>
    <comment ref="D39" authorId="1">
      <text>
        <r>
          <rPr>
            <b/>
            <sz val="9"/>
            <color indexed="81"/>
            <rFont val="Tahoma"/>
            <family val="2"/>
            <charset val="238"/>
          </rPr>
          <t>PCBM:</t>
        </r>
        <r>
          <rPr>
            <sz val="9"/>
            <color indexed="81"/>
            <rFont val="Tahoma"/>
            <family val="2"/>
            <charset val="238"/>
          </rPr>
          <t xml:space="preserve">
пројекат траје закључно са месецом мајем 2018. године</t>
        </r>
      </text>
    </comment>
    <comment ref="D41" authorId="1">
      <text>
        <r>
          <rPr>
            <b/>
            <sz val="9"/>
            <color indexed="81"/>
            <rFont val="Tahoma"/>
            <family val="2"/>
            <charset val="238"/>
          </rPr>
          <t>PCBM:</t>
        </r>
        <r>
          <rPr>
            <sz val="9"/>
            <color indexed="81"/>
            <rFont val="Tahoma"/>
            <family val="2"/>
            <charset val="238"/>
          </rPr>
          <t xml:space="preserve">
Оквирно за РОЦ око 0,7 и 0,5 за остало- нпр. Превоз ученика, превоз ромске деце у школе и слично</t>
        </r>
      </text>
    </comment>
    <comment ref="D42" authorId="1">
      <text>
        <r>
          <rPr>
            <b/>
            <sz val="9"/>
            <color indexed="81"/>
            <rFont val="Tahoma"/>
            <family val="2"/>
            <charset val="238"/>
          </rPr>
          <t>PCBM:</t>
        </r>
        <r>
          <rPr>
            <sz val="9"/>
            <color indexed="81"/>
            <rFont val="Tahoma"/>
            <family val="2"/>
            <charset val="238"/>
          </rPr>
          <t xml:space="preserve">
накнаде за новорођенчад и евентуално нешто друго</t>
        </r>
      </text>
    </comment>
    <comment ref="D43" authorId="1">
      <text>
        <r>
          <rPr>
            <b/>
            <sz val="9"/>
            <color indexed="81"/>
            <rFont val="Tahoma"/>
            <family val="2"/>
            <charset val="238"/>
          </rPr>
          <t>PCBM:</t>
        </r>
        <r>
          <rPr>
            <sz val="9"/>
            <color indexed="81"/>
            <rFont val="Tahoma"/>
            <family val="2"/>
            <charset val="238"/>
          </rPr>
          <t xml:space="preserve">
доградња централног вртића - 16,3 +ПДВ</t>
        </r>
      </text>
    </comment>
    <comment ref="D44" authorId="1">
      <text>
        <r>
          <rPr>
            <b/>
            <sz val="9"/>
            <color indexed="81"/>
            <rFont val="Tahoma"/>
            <family val="2"/>
            <charset val="238"/>
          </rPr>
          <t>PCBM:</t>
        </r>
        <r>
          <rPr>
            <sz val="9"/>
            <color indexed="81"/>
            <rFont val="Tahoma"/>
            <family val="2"/>
            <charset val="238"/>
          </rPr>
          <t xml:space="preserve">
опремање новог вртића 4,260.000 +ПДВ и опремање усц играчке укупно 11,900.000</t>
        </r>
      </text>
    </comment>
    <comment ref="D45" authorId="1">
      <text>
        <r>
          <rPr>
            <b/>
            <sz val="9"/>
            <color indexed="81"/>
            <rFont val="Tahoma"/>
            <family val="2"/>
            <charset val="238"/>
          </rPr>
          <t>PCBM:</t>
        </r>
        <r>
          <rPr>
            <sz val="9"/>
            <color indexed="81"/>
            <rFont val="Tahoma"/>
            <family val="2"/>
            <charset val="238"/>
          </rPr>
          <t xml:space="preserve">
ултидисциплинарни тим за децу 15 медсестара као нова патронажа укупно 7,200.000,00 и </t>
        </r>
      </text>
    </comment>
    <comment ref="D47" authorId="2">
      <text>
        <r>
          <rPr>
            <b/>
            <sz val="9"/>
            <color indexed="81"/>
            <rFont val="Tahoma"/>
            <family val="2"/>
            <charset val="238"/>
          </rPr>
          <t>MX:</t>
        </r>
        <r>
          <rPr>
            <sz val="9"/>
            <color indexed="81"/>
            <rFont val="Tahoma"/>
            <family val="2"/>
            <charset val="238"/>
          </rPr>
          <t xml:space="preserve">
саветовалиште за труднице 500.000</t>
        </r>
      </text>
    </comment>
    <comment ref="D51" authorId="3">
      <text>
        <r>
          <rPr>
            <b/>
            <sz val="8"/>
            <color indexed="81"/>
            <rFont val="Tahoma"/>
            <family val="2"/>
          </rPr>
          <t>REDCROSS2:</t>
        </r>
        <r>
          <rPr>
            <sz val="8"/>
            <color indexed="81"/>
            <rFont val="Tahoma"/>
            <family val="2"/>
          </rPr>
          <t xml:space="preserve">
interresorna I ostalo</t>
        </r>
      </text>
    </comment>
    <comment ref="D52" authorId="3">
      <text>
        <r>
          <rPr>
            <b/>
            <sz val="8"/>
            <color indexed="81"/>
            <rFont val="Tahoma"/>
            <family val="2"/>
          </rPr>
          <t>REDCROSS2:</t>
        </r>
        <r>
          <rPr>
            <sz val="8"/>
            <color indexed="81"/>
            <rFont val="Tahoma"/>
            <family val="2"/>
          </rPr>
          <t xml:space="preserve">
за пројекте према ромима у циљу побољшања услова становања здружена средства за НВО
ИЗВОР 01
</t>
        </r>
      </text>
    </comment>
    <comment ref="D53" authorId="1">
      <text>
        <r>
          <rPr>
            <b/>
            <sz val="9"/>
            <color indexed="81"/>
            <rFont val="Tahoma"/>
            <family val="2"/>
            <charset val="238"/>
          </rPr>
          <t>PCBM:</t>
        </r>
        <r>
          <rPr>
            <sz val="9"/>
            <color indexed="81"/>
            <rFont val="Tahoma"/>
            <family val="2"/>
            <charset val="238"/>
          </rPr>
          <t xml:space="preserve">
наменски трансфер 4,750.000 и средства општине за додатне пројекте бриге о старима око 1,7</t>
        </r>
      </text>
    </comment>
    <comment ref="D54" authorId="1">
      <text>
        <r>
          <rPr>
            <b/>
            <sz val="9"/>
            <color indexed="81"/>
            <rFont val="Tahoma"/>
            <family val="2"/>
            <charset val="238"/>
          </rPr>
          <t>PCBM:тражили 5,463</t>
        </r>
      </text>
    </comment>
    <comment ref="D56" authorId="1">
      <text>
        <r>
          <rPr>
            <b/>
            <sz val="9"/>
            <color indexed="81"/>
            <rFont val="Tahoma"/>
            <family val="2"/>
            <charset val="238"/>
          </rPr>
          <t>PCBM:</t>
        </r>
        <r>
          <rPr>
            <sz val="9"/>
            <color indexed="81"/>
            <rFont val="Tahoma"/>
            <family val="2"/>
            <charset val="238"/>
          </rPr>
          <t xml:space="preserve">
дневни боравак за децу са сметњама 1,3 и остали - слепи, ... Око 0,2</t>
        </r>
      </text>
    </comment>
    <comment ref="D58" authorId="1">
      <text>
        <r>
          <rPr>
            <b/>
            <sz val="9"/>
            <color indexed="81"/>
            <rFont val="Tahoma"/>
            <family val="2"/>
            <charset val="238"/>
          </rPr>
          <t>PCBM:</t>
        </r>
        <r>
          <rPr>
            <sz val="9"/>
            <color indexed="81"/>
            <rFont val="Tahoma"/>
            <family val="2"/>
            <charset val="238"/>
          </rPr>
          <t xml:space="preserve">
за пратеће елаборате</t>
        </r>
      </text>
    </comment>
    <comment ref="D59" authorId="1">
      <text>
        <r>
          <rPr>
            <b/>
            <sz val="9"/>
            <color indexed="81"/>
            <rFont val="Tahoma"/>
            <family val="2"/>
            <charset val="238"/>
          </rPr>
          <t>PCBM:</t>
        </r>
        <r>
          <rPr>
            <sz val="9"/>
            <color indexed="81"/>
            <rFont val="Tahoma"/>
            <family val="2"/>
            <charset val="238"/>
          </rPr>
          <t xml:space="preserve">
фасада, кров и котлови тоалети, столарија и рек. Другог спрата као једна целина   а , у 2017. само пројекат</t>
        </r>
      </text>
    </comment>
    <comment ref="D67" authorId="0">
      <text>
        <r>
          <rPr>
            <b/>
            <sz val="8"/>
            <color indexed="81"/>
            <rFont val="Tahoma"/>
            <family val="2"/>
          </rPr>
          <t>Branka:</t>
        </r>
        <r>
          <rPr>
            <sz val="8"/>
            <color indexed="81"/>
            <rFont val="Tahoma"/>
            <family val="2"/>
          </rPr>
          <t xml:space="preserve">
и мобилни телефони радника и нова централа</t>
        </r>
      </text>
    </comment>
    <comment ref="C69" authorId="1">
      <text>
        <r>
          <rPr>
            <b/>
            <sz val="9"/>
            <color indexed="81"/>
            <rFont val="Tahoma"/>
            <family val="2"/>
            <charset val="238"/>
          </rPr>
          <t>PCBM:</t>
        </r>
        <r>
          <rPr>
            <sz val="9"/>
            <color indexed="81"/>
            <rFont val="Tahoma"/>
            <family val="2"/>
            <charset val="238"/>
          </rPr>
          <t xml:space="preserve">
radno angažovanje preko agencije za pomoćne poslove i matične knjige, прив. И поврем. послови</t>
        </r>
      </text>
    </comment>
    <comment ref="C75" authorId="0">
      <text>
        <r>
          <rPr>
            <b/>
            <sz val="8"/>
            <color indexed="81"/>
            <rFont val="Tahoma"/>
            <family val="2"/>
          </rPr>
          <t>Branka:</t>
        </r>
        <r>
          <rPr>
            <sz val="8"/>
            <color indexed="81"/>
            <rFont val="Tahoma"/>
            <family val="2"/>
          </rPr>
          <t xml:space="preserve">
djerdap 1 </t>
        </r>
      </text>
    </comment>
    <comment ref="D78" authorId="3">
      <text>
        <r>
          <rPr>
            <b/>
            <sz val="8"/>
            <color indexed="81"/>
            <rFont val="Tahoma"/>
            <family val="2"/>
          </rPr>
          <t>REDCROSS2:</t>
        </r>
        <r>
          <rPr>
            <sz val="8"/>
            <color indexed="81"/>
            <rFont val="Tahoma"/>
            <family val="2"/>
          </rPr>
          <t xml:space="preserve">
сређивање подрума за смештај архивске граће и изолација паркинга изнад подрума 3
132.000 за пројекат зграде МЗ у Калиманцу и тоалети 2  на изору 09</t>
        </r>
      </text>
    </comment>
    <comment ref="D79" authorId="1">
      <text>
        <r>
          <rPr>
            <b/>
            <sz val="9"/>
            <color indexed="81"/>
            <rFont val="Tahoma"/>
            <family val="2"/>
            <charset val="238"/>
          </rPr>
          <t>PCBM:</t>
        </r>
        <r>
          <rPr>
            <sz val="9"/>
            <color indexed="81"/>
            <rFont val="Tahoma"/>
            <family val="2"/>
            <charset val="238"/>
          </rPr>
          <t xml:space="preserve">
замена рачунара у управи 300.000,  дастер 2,000.000 vezati za izvor 09
</t>
        </r>
      </text>
    </comment>
    <comment ref="D81" authorId="1">
      <text>
        <r>
          <rPr>
            <b/>
            <sz val="9"/>
            <color indexed="81"/>
            <rFont val="Tahoma"/>
            <family val="2"/>
            <charset val="238"/>
          </rPr>
          <t>PCBM:</t>
        </r>
        <r>
          <rPr>
            <sz val="9"/>
            <color indexed="81"/>
            <rFont val="Tahoma"/>
            <family val="2"/>
            <charset val="238"/>
          </rPr>
          <t xml:space="preserve">
izvor 09 </t>
        </r>
      </text>
    </comment>
    <comment ref="D82" authorId="1">
      <text>
        <r>
          <rPr>
            <b/>
            <sz val="9"/>
            <color indexed="81"/>
            <rFont val="Tahoma"/>
            <family val="2"/>
            <charset val="238"/>
          </rPr>
          <t>PCBM:</t>
        </r>
        <r>
          <rPr>
            <sz val="9"/>
            <color indexed="81"/>
            <rFont val="Tahoma"/>
            <family val="2"/>
            <charset val="238"/>
          </rPr>
          <t xml:space="preserve">
извор 09</t>
        </r>
      </text>
    </comment>
    <comment ref="D83" authorId="1">
      <text>
        <r>
          <rPr>
            <b/>
            <sz val="9"/>
            <color indexed="81"/>
            <rFont val="Tahoma"/>
            <family val="2"/>
            <charset val="238"/>
          </rPr>
          <t>PCBM:</t>
        </r>
        <r>
          <rPr>
            <sz val="9"/>
            <color indexed="81"/>
            <rFont val="Tahoma"/>
            <family val="2"/>
            <charset val="238"/>
          </rPr>
          <t xml:space="preserve">
највише 4% од (7+8)</t>
        </r>
      </text>
    </comment>
    <comment ref="D84" authorId="1">
      <text>
        <r>
          <rPr>
            <b/>
            <sz val="9"/>
            <color indexed="81"/>
            <rFont val="Tahoma"/>
            <family val="2"/>
            <charset val="238"/>
          </rPr>
          <t>PCBM:</t>
        </r>
        <r>
          <rPr>
            <sz val="9"/>
            <color indexed="81"/>
            <rFont val="Tahoma"/>
            <family val="2"/>
            <charset val="238"/>
          </rPr>
          <t xml:space="preserve">
највише 0,5% од (7+8)</t>
        </r>
      </text>
    </comment>
    <comment ref="D86" authorId="1">
      <text>
        <r>
          <rPr>
            <b/>
            <sz val="9"/>
            <color indexed="81"/>
            <rFont val="Tahoma"/>
            <family val="2"/>
            <charset val="238"/>
          </rPr>
          <t>PCBM:</t>
        </r>
        <r>
          <rPr>
            <sz val="9"/>
            <color indexed="81"/>
            <rFont val="Tahoma"/>
            <family val="2"/>
            <charset val="238"/>
          </rPr>
          <t xml:space="preserve">
пројекти препарцелације 0,6 и снимање улица 0.4, преноси се око 550.000 а остало у текућој години</t>
        </r>
      </text>
    </comment>
    <comment ref="D87" authorId="0">
      <text>
        <r>
          <rPr>
            <b/>
            <sz val="9"/>
            <color indexed="81"/>
            <rFont val="Tahoma"/>
            <family val="2"/>
          </rPr>
          <t>Branka:</t>
        </r>
        <r>
          <rPr>
            <sz val="9"/>
            <color indexed="81"/>
            <rFont val="Tahoma"/>
            <family val="2"/>
          </rPr>
          <t xml:space="preserve">
ПГР Вл. Хан, измене 900.000 - пренос у 2018 , ПДР за колектор око 700.000, преноси се и 200 за ПГР саобраћајнице у Прекодолцу   путеви Србије дају 3,7 милиона да израдимо ПДР за петљу у Грамађу</t>
        </r>
      </text>
    </comment>
    <comment ref="C90" authorId="1">
      <text>
        <r>
          <rPr>
            <b/>
            <sz val="9"/>
            <color indexed="81"/>
            <rFont val="Tahoma"/>
            <family val="2"/>
            <charset val="238"/>
          </rPr>
          <t>PCBM:</t>
        </r>
        <r>
          <rPr>
            <sz val="9"/>
            <color indexed="81"/>
            <rFont val="Tahoma"/>
            <family val="2"/>
            <charset val="238"/>
          </rPr>
          <t xml:space="preserve">
котизација за сајмове, и пољопривредна служба око 400.000</t>
        </r>
      </text>
    </comment>
    <comment ref="C91" authorId="0">
      <text>
        <r>
          <rPr>
            <b/>
            <sz val="8"/>
            <color indexed="81"/>
            <rFont val="Tahoma"/>
            <family val="2"/>
          </rPr>
          <t>Branka:</t>
        </r>
        <r>
          <rPr>
            <sz val="8"/>
            <color indexed="81"/>
            <rFont val="Tahoma"/>
            <family val="2"/>
          </rPr>
          <t xml:space="preserve">
И сајмови и стрелци 2017 са 700000 и сајмови </t>
        </r>
      </text>
    </comment>
    <comment ref="C92" authorId="1">
      <text>
        <r>
          <rPr>
            <b/>
            <sz val="9"/>
            <color indexed="81"/>
            <rFont val="Tahoma"/>
            <family val="2"/>
            <charset val="238"/>
          </rPr>
          <t>PCBM:</t>
        </r>
        <r>
          <rPr>
            <sz val="9"/>
            <color indexed="81"/>
            <rFont val="Tahoma"/>
            <family val="2"/>
            <charset val="238"/>
          </rPr>
          <t xml:space="preserve">
преноси се 13,5 (на извору 01) из 2017. од којих 9 на извору 01 и 4,5 на извору 07; за 2018. годину још 16 милиона од чега 6-01 и 10 -07
ЗНАЧИ 14,3 ИЗ ТРАНСФЕРА, И 16,2 ИЗ 01, ПО ГАГИ У РЕБАЛАНСУ ЈЕ ТРЕБА СМАЊИТИ НА 20 ПА ПРОВЕРИТИ ИЗВОРЕ - ЗА САДА 07-8 И 01-12</t>
        </r>
      </text>
    </comment>
    <comment ref="D92" authorId="1">
      <text>
        <r>
          <rPr>
            <b/>
            <sz val="9"/>
            <color indexed="81"/>
            <rFont val="Tahoma"/>
            <family val="2"/>
            <charset val="238"/>
          </rPr>
          <t>PCBM:</t>
        </r>
        <r>
          <rPr>
            <sz val="9"/>
            <color indexed="81"/>
            <rFont val="Tahoma"/>
            <family val="2"/>
            <charset val="238"/>
          </rPr>
          <t xml:space="preserve">
1,1 за шумске путеве и ОСТАЛО  за атарске путеве из 2017. и 2018. године око 8 на 07</t>
        </r>
      </text>
    </comment>
    <comment ref="C93" authorId="0">
      <text>
        <r>
          <rPr>
            <b/>
            <sz val="8"/>
            <color indexed="81"/>
            <rFont val="Tahoma"/>
            <family val="2"/>
          </rPr>
          <t>Branka:</t>
        </r>
        <r>
          <rPr>
            <sz val="8"/>
            <color indexed="81"/>
            <rFont val="Tahoma"/>
            <family val="2"/>
          </rPr>
          <t xml:space="preserve">
и ракете 40 ком 1200000
</t>
        </r>
      </text>
    </comment>
    <comment ref="D94" authorId="1">
      <text>
        <r>
          <rPr>
            <b/>
            <sz val="9"/>
            <color indexed="81"/>
            <rFont val="Tahoma"/>
            <family val="2"/>
            <charset val="238"/>
          </rPr>
          <t>PCBM:</t>
        </r>
        <r>
          <rPr>
            <sz val="9"/>
            <color indexed="81"/>
            <rFont val="Tahoma"/>
            <family val="2"/>
            <charset val="238"/>
          </rPr>
          <t xml:space="preserve">
и шуме око 1,500.000, извор 09 А СУБВЕНЦИЈЕ У ПОЉ. НА 01 - 3,5</t>
        </r>
      </text>
    </comment>
    <comment ref="D95" authorId="1">
      <text>
        <r>
          <rPr>
            <b/>
            <sz val="9"/>
            <color indexed="81"/>
            <rFont val="Tahoma"/>
            <family val="2"/>
            <charset val="238"/>
          </rPr>
          <t>PCBM:</t>
        </r>
        <r>
          <rPr>
            <sz val="9"/>
            <color indexed="81"/>
            <rFont val="Tahoma"/>
            <family val="2"/>
            <charset val="238"/>
          </rPr>
          <t xml:space="preserve">
ИЗВОР 01</t>
        </r>
      </text>
    </comment>
    <comment ref="C98" authorId="0">
      <text>
        <r>
          <rPr>
            <b/>
            <sz val="8"/>
            <color indexed="81"/>
            <rFont val="Tahoma"/>
            <family val="2"/>
          </rPr>
          <t>Branka:</t>
        </r>
        <r>
          <rPr>
            <sz val="8"/>
            <color indexed="81"/>
            <rFont val="Tahoma"/>
            <family val="2"/>
          </rPr>
          <t xml:space="preserve">
И сајмови и стрелци 2017 са 700000 и сајмови </t>
        </r>
      </text>
    </comment>
    <comment ref="D99" authorId="0">
      <text>
        <r>
          <rPr>
            <b/>
            <sz val="9"/>
            <color indexed="81"/>
            <rFont val="Tahoma"/>
            <family val="2"/>
          </rPr>
          <t>Branka:</t>
        </r>
        <r>
          <rPr>
            <sz val="9"/>
            <color indexed="81"/>
            <rFont val="Tahoma"/>
            <family val="2"/>
          </rPr>
          <t xml:space="preserve">
ТПО сигнализације и сливничких решетки, уговорено све</t>
        </r>
      </text>
    </comment>
    <comment ref="B102" authorId="1">
      <text>
        <r>
          <rPr>
            <b/>
            <sz val="9"/>
            <color indexed="81"/>
            <rFont val="Tahoma"/>
            <family val="2"/>
            <charset val="238"/>
          </rPr>
          <t>PCBM:</t>
        </r>
        <r>
          <rPr>
            <sz val="9"/>
            <color indexed="81"/>
            <rFont val="Tahoma"/>
            <family val="2"/>
            <charset val="238"/>
          </rPr>
          <t xml:space="preserve">
</t>
        </r>
      </text>
    </comment>
    <comment ref="D102" authorId="1">
      <text>
        <r>
          <rPr>
            <b/>
            <sz val="9"/>
            <color indexed="81"/>
            <rFont val="Tahoma"/>
            <family val="2"/>
            <charset val="238"/>
          </rPr>
          <t>PCBM:</t>
        </r>
        <r>
          <rPr>
            <sz val="9"/>
            <color indexed="81"/>
            <rFont val="Tahoma"/>
            <family val="2"/>
            <charset val="238"/>
          </rPr>
          <t xml:space="preserve">
2,5 na izvoru 09</t>
        </r>
      </text>
    </comment>
    <comment ref="D103" authorId="0">
      <text>
        <r>
          <rPr>
            <b/>
            <sz val="9"/>
            <color indexed="81"/>
            <rFont val="Tahoma"/>
            <family val="2"/>
          </rPr>
          <t>Branka:</t>
        </r>
        <r>
          <rPr>
            <sz val="9"/>
            <color indexed="81"/>
            <rFont val="Tahoma"/>
            <family val="2"/>
          </rPr>
          <t xml:space="preserve">
сагласности, ргзи слично, projekat za atarske puteve</t>
        </r>
      </text>
    </comment>
    <comment ref="D104" authorId="0">
      <text>
        <r>
          <rPr>
            <b/>
            <sz val="9"/>
            <color indexed="81"/>
            <rFont val="Tahoma"/>
            <family val="2"/>
          </rPr>
          <t>Branka:</t>
        </r>
        <r>
          <rPr>
            <sz val="9"/>
            <color indexed="81"/>
            <rFont val="Tahoma"/>
            <family val="2"/>
          </rPr>
          <t xml:space="preserve">
крпљење ударних рупа летње пренеће се 200.000 и зимско одржавање путева  уговорено 2700.000 и крпљење рупа 1,700.000</t>
        </r>
      </text>
    </comment>
    <comment ref="D105" authorId="1">
      <text>
        <r>
          <rPr>
            <b/>
            <sz val="9"/>
            <color indexed="81"/>
            <rFont val="Tahoma"/>
            <family val="2"/>
            <charset val="238"/>
          </rPr>
          <t>PCBM:</t>
        </r>
        <r>
          <rPr>
            <sz val="9"/>
            <color indexed="81"/>
            <rFont val="Tahoma"/>
            <family val="2"/>
            <charset val="238"/>
          </rPr>
          <t xml:space="preserve">
СО ЗА  ПУТЕВЕ,</t>
        </r>
      </text>
    </comment>
    <comment ref="D106" authorId="0">
      <text>
        <r>
          <rPr>
            <b/>
            <sz val="9"/>
            <color indexed="81"/>
            <rFont val="Tahoma"/>
            <family val="2"/>
          </rPr>
          <t>Branka:</t>
        </r>
        <r>
          <rPr>
            <sz val="9"/>
            <color indexed="81"/>
            <rFont val="Tahoma"/>
            <family val="2"/>
          </rPr>
          <t xml:space="preserve">
пројекти за саобраћајнице као и пројекти изведених стања имаће  пренете обавезе из претходне године  оквирно 1,2
</t>
        </r>
      </text>
    </comment>
    <comment ref="D108" authorId="2">
      <text>
        <r>
          <rPr>
            <b/>
            <sz val="9"/>
            <color indexed="81"/>
            <rFont val="Tahoma"/>
            <family val="2"/>
            <charset val="238"/>
          </rPr>
          <t>MX:</t>
        </r>
        <r>
          <rPr>
            <sz val="9"/>
            <color indexed="81"/>
            <rFont val="Tahoma"/>
            <family val="2"/>
            <charset val="238"/>
          </rPr>
          <t xml:space="preserve">
za potporne zidove ukupno je bilo 12,500.000
ИЗВОР   09
</t>
        </r>
      </text>
    </comment>
    <comment ref="D119" authorId="1">
      <text>
        <r>
          <rPr>
            <b/>
            <sz val="9"/>
            <color indexed="81"/>
            <rFont val="Tahoma"/>
            <family val="2"/>
            <charset val="238"/>
          </rPr>
          <t>PCBM:</t>
        </r>
        <r>
          <rPr>
            <sz val="9"/>
            <color indexed="81"/>
            <rFont val="Tahoma"/>
            <family val="2"/>
            <charset val="238"/>
          </rPr>
          <t xml:space="preserve">
овде је било планирано мало бело поље са 5 милиона а сада се од тога одустаје и мења се за путни правац у Летовишту који кошта 26 што значи додатних 21 и то на различитим изворима</t>
        </r>
      </text>
    </comment>
    <comment ref="D120" authorId="1">
      <text>
        <r>
          <rPr>
            <b/>
            <sz val="9"/>
            <color indexed="81"/>
            <rFont val="Tahoma"/>
            <family val="2"/>
            <charset val="238"/>
          </rPr>
          <t>PCBM:</t>
        </r>
        <r>
          <rPr>
            <sz val="9"/>
            <color indexed="81"/>
            <rFont val="Tahoma"/>
            <family val="2"/>
            <charset val="238"/>
          </rPr>
          <t xml:space="preserve">
покушати са суфинансирањем за део друге фазе у самом селу, 15 на извору 09 а 5 на извору 13</t>
        </r>
      </text>
    </comment>
    <comment ref="C122" authorId="0">
      <text>
        <r>
          <rPr>
            <b/>
            <sz val="8"/>
            <color indexed="81"/>
            <rFont val="Tahoma"/>
            <family val="2"/>
          </rPr>
          <t>Branka:</t>
        </r>
        <r>
          <rPr>
            <sz val="8"/>
            <color indexed="81"/>
            <rFont val="Tahoma"/>
            <family val="2"/>
          </rPr>
          <t xml:space="preserve">
СИНИША 500,  ПВВ 13200000</t>
        </r>
      </text>
    </comment>
    <comment ref="D123" authorId="1">
      <text>
        <r>
          <rPr>
            <b/>
            <sz val="9"/>
            <color indexed="81"/>
            <rFont val="Tahoma"/>
            <family val="2"/>
            <charset val="238"/>
          </rPr>
          <t>PCBM:</t>
        </r>
        <r>
          <rPr>
            <sz val="9"/>
            <color indexed="81"/>
            <rFont val="Tahoma"/>
            <family val="2"/>
            <charset val="238"/>
          </rPr>
          <t xml:space="preserve">
субвенције у изградњу кан. Мреже , Његошева-С. Коваче. 1,6 милион, А.Аксентијевића 0,9 и Мало бело Поље - Прекодолце - 1,500.000, стубал 1,500.000
ПРЕНЕТО НА КАПИТАЛИИЗАЦИЈУ</t>
        </r>
      </text>
    </comment>
    <comment ref="D124" authorId="0">
      <text>
        <r>
          <rPr>
            <b/>
            <sz val="9"/>
            <color indexed="81"/>
            <rFont val="Tahoma"/>
            <family val="2"/>
          </rPr>
          <t>Branka:</t>
        </r>
        <r>
          <rPr>
            <sz val="9"/>
            <color indexed="81"/>
            <rFont val="Tahoma"/>
            <family val="2"/>
          </rPr>
          <t xml:space="preserve">
фк полом шеварике 5,  пројекти  0,8 за Лепеницу и Стубал</t>
        </r>
      </text>
    </comment>
    <comment ref="D125" authorId="0">
      <text>
        <r>
          <rPr>
            <b/>
            <sz val="9"/>
            <color indexed="81"/>
            <rFont val="Tahoma"/>
            <family val="2"/>
          </rPr>
          <t>Branka:</t>
        </r>
        <r>
          <rPr>
            <sz val="9"/>
            <color indexed="81"/>
            <rFont val="Tahoma"/>
            <family val="2"/>
          </rPr>
          <t xml:space="preserve">
цео пројекат плаћа Општина а дају Сурдулица и МПрив</t>
        </r>
      </text>
    </comment>
    <comment ref="D126" authorId="0">
      <text>
        <r>
          <rPr>
            <b/>
            <sz val="9"/>
            <color indexed="81"/>
            <rFont val="Tahoma"/>
            <family val="2"/>
          </rPr>
          <t>Branka:</t>
        </r>
        <r>
          <rPr>
            <sz val="9"/>
            <color indexed="81"/>
            <rFont val="Tahoma"/>
            <family val="2"/>
          </rPr>
          <t xml:space="preserve">
НАБАВКА ВОЗИЛА ВОМА ЗА ВОДОВОД, ПРЕДСТАВЉЕН САМО НАШ ДЕО</t>
        </r>
      </text>
    </comment>
    <comment ref="D127" authorId="1">
      <text>
        <r>
          <rPr>
            <b/>
            <sz val="9"/>
            <color indexed="81"/>
            <rFont val="Tahoma"/>
            <family val="2"/>
            <charset val="238"/>
          </rPr>
          <t>PCBM:</t>
        </r>
        <r>
          <rPr>
            <sz val="9"/>
            <color indexed="81"/>
            <rFont val="Tahoma"/>
            <family val="2"/>
            <charset val="238"/>
          </rPr>
          <t xml:space="preserve">
висан</t>
        </r>
      </text>
    </comment>
    <comment ref="C128" authorId="0">
      <text>
        <r>
          <rPr>
            <b/>
            <sz val="8"/>
            <color indexed="81"/>
            <rFont val="Tahoma"/>
            <family val="2"/>
          </rPr>
          <t>Branka:</t>
        </r>
        <r>
          <rPr>
            <sz val="8"/>
            <color indexed="81"/>
            <rFont val="Tahoma"/>
            <family val="2"/>
          </rPr>
          <t xml:space="preserve">
 авенија 800, </t>
        </r>
      </text>
    </comment>
    <comment ref="D129" authorId="0">
      <text>
        <r>
          <rPr>
            <b/>
            <sz val="9"/>
            <color indexed="81"/>
            <rFont val="Tahoma"/>
            <family val="2"/>
          </rPr>
          <t>Branka:</t>
        </r>
        <r>
          <rPr>
            <sz val="9"/>
            <color indexed="81"/>
            <rFont val="Tahoma"/>
            <family val="2"/>
          </rPr>
          <t xml:space="preserve">
невладин сектор</t>
        </r>
      </text>
    </comment>
    <comment ref="D132" authorId="1">
      <text>
        <r>
          <rPr>
            <b/>
            <sz val="9"/>
            <color indexed="81"/>
            <rFont val="Tahoma"/>
            <family val="2"/>
            <charset val="238"/>
          </rPr>
          <t>PCBM:</t>
        </r>
        <r>
          <rPr>
            <sz val="9"/>
            <color indexed="81"/>
            <rFont val="Tahoma"/>
            <family val="2"/>
            <charset val="238"/>
          </rPr>
          <t xml:space="preserve">
игралиште у МЗ Стубал</t>
        </r>
      </text>
    </comment>
    <comment ref="D134" authorId="0">
      <text>
        <r>
          <rPr>
            <b/>
            <sz val="9"/>
            <color indexed="81"/>
            <rFont val="Tahoma"/>
            <family val="2"/>
          </rPr>
          <t>Branka:</t>
        </r>
        <r>
          <rPr>
            <sz val="9"/>
            <color indexed="81"/>
            <rFont val="Tahoma"/>
            <family val="2"/>
          </rPr>
          <t xml:space="preserve">
ауто хидраулична зглобна радна платформа 2,4</t>
        </r>
      </text>
    </comment>
    <comment ref="D135" authorId="0">
      <text>
        <r>
          <rPr>
            <b/>
            <sz val="9"/>
            <color indexed="81"/>
            <rFont val="Tahoma"/>
            <family val="2"/>
          </rPr>
          <t>Branka:</t>
        </r>
        <r>
          <rPr>
            <sz val="9"/>
            <color indexed="81"/>
            <rFont val="Tahoma"/>
            <family val="2"/>
          </rPr>
          <t xml:space="preserve">
доставиће листу инвестиција на бази докапитализације-  аналитички конто 621911: хладњача анимални отпад 400.000,00, кранска косачица таруп 1,700.000,00, машина за обележавање хоризонталне сигнализације 1,600.000,00 и приколица за обезбеђење радова на путу 600.000,00динара.</t>
        </r>
      </text>
    </comment>
    <comment ref="D136" authorId="1">
      <text>
        <r>
          <rPr>
            <b/>
            <sz val="9"/>
            <color indexed="81"/>
            <rFont val="Tahoma"/>
            <family val="2"/>
            <charset val="238"/>
          </rPr>
          <t>PCBM:</t>
        </r>
        <r>
          <rPr>
            <sz val="9"/>
            <color indexed="81"/>
            <rFont val="Tahoma"/>
            <family val="2"/>
            <charset val="238"/>
          </rPr>
          <t xml:space="preserve">
7 ткуће и 2 капиталне све на извор 13</t>
        </r>
      </text>
    </comment>
    <comment ref="D137" authorId="0">
      <text>
        <r>
          <rPr>
            <b/>
            <sz val="9"/>
            <color indexed="81"/>
            <rFont val="Tahoma"/>
            <family val="2"/>
          </rPr>
          <t>Branka:</t>
        </r>
        <r>
          <rPr>
            <sz val="9"/>
            <color indexed="81"/>
            <rFont val="Tahoma"/>
            <family val="2"/>
          </rPr>
          <t xml:space="preserve">
набавка 1 теренска возила 1,9 ;  рек. Вод. Мреже Карађорђева-4,5, ратка соф. И степе степановића-3,7, инвестирање у канализациону мрежу 5,5 и то Аксентијевићева 0,9, Стубал и Прекодолце по 1,5 и Његошева 1,6 аналитички конто 621911, 4 МИЛИОНА НА ИЗВОРУ 13, 3,600.000 НА ИЗВОРУ 09 И 8 МИЛИОНА НА ИЗВОРУ 01</t>
        </r>
      </text>
    </comment>
    <comment ref="C138" authorId="1">
      <text>
        <r>
          <rPr>
            <b/>
            <sz val="9"/>
            <color indexed="81"/>
            <rFont val="Tahoma"/>
            <family val="2"/>
            <charset val="238"/>
          </rPr>
          <t>PCBM:</t>
        </r>
        <r>
          <rPr>
            <sz val="9"/>
            <color indexed="81"/>
            <rFont val="Tahoma"/>
            <family val="2"/>
            <charset val="238"/>
          </rPr>
          <t xml:space="preserve">
надзор 230000 и ХТЗ 240000</t>
        </r>
      </text>
    </comment>
    <comment ref="C140" authorId="1">
      <text>
        <r>
          <rPr>
            <b/>
            <sz val="9"/>
            <color indexed="81"/>
            <rFont val="Tahoma"/>
            <family val="2"/>
            <charset val="238"/>
          </rPr>
          <t>PCBM:</t>
        </r>
        <r>
          <rPr>
            <sz val="9"/>
            <color indexed="81"/>
            <rFont val="Tahoma"/>
            <family val="2"/>
            <charset val="238"/>
          </rPr>
          <t xml:space="preserve">
надзор 230000 и ХТЗ 240000</t>
        </r>
      </text>
    </comment>
    <comment ref="D141" authorId="0">
      <text>
        <r>
          <rPr>
            <b/>
            <sz val="9"/>
            <color indexed="81"/>
            <rFont val="Tahoma"/>
            <family val="2"/>
          </rPr>
          <t>Branka:</t>
        </r>
        <r>
          <rPr>
            <sz val="9"/>
            <color indexed="81"/>
            <rFont val="Tahoma"/>
            <family val="2"/>
          </rPr>
          <t xml:space="preserve">
изградња водоводне мреже у МЗ Мазараћ 8,3 и МЗ Манајле 2,7</t>
        </r>
      </text>
    </comment>
    <comment ref="D142" authorId="0">
      <text>
        <r>
          <rPr>
            <b/>
            <sz val="8"/>
            <color indexed="81"/>
            <rFont val="Tahoma"/>
            <family val="2"/>
          </rPr>
          <t>Branka:</t>
        </r>
        <r>
          <rPr>
            <sz val="8"/>
            <color indexed="81"/>
            <rFont val="Tahoma"/>
            <family val="2"/>
          </rPr>
          <t xml:space="preserve">
и месне заједнице</t>
        </r>
      </text>
    </comment>
    <comment ref="D143" authorId="1">
      <text>
        <r>
          <rPr>
            <b/>
            <sz val="9"/>
            <color indexed="81"/>
            <rFont val="Tahoma"/>
            <family val="2"/>
            <charset val="238"/>
          </rPr>
          <t>PCBM:</t>
        </r>
        <r>
          <rPr>
            <sz val="9"/>
            <color indexed="81"/>
            <rFont val="Tahoma"/>
            <family val="2"/>
            <charset val="238"/>
          </rPr>
          <t xml:space="preserve">
укључивање струје од стране ЕПС и слично, елаборат за уштеду струје у јавној расвети 100.000</t>
        </r>
      </text>
    </comment>
    <comment ref="D144" authorId="1">
      <text>
        <r>
          <rPr>
            <b/>
            <sz val="9"/>
            <color indexed="81"/>
            <rFont val="Tahoma"/>
            <family val="2"/>
            <charset val="238"/>
          </rPr>
          <t>PCBM:</t>
        </r>
        <r>
          <rPr>
            <sz val="9"/>
            <color indexed="81"/>
            <rFont val="Tahoma"/>
            <family val="2"/>
            <charset val="238"/>
          </rPr>
          <t xml:space="preserve">
специјално возило - 0,8  а сад ће да га ради Комунално (1,5), замена подземних каблова 0,3, замена дотрајалих стубова 0,8, измештање ормана јавног осветљења ван трафостаница 0,6 и набавка и уградња бетонских стубова 0,7 a oko 4 за лед сијалице по елаборату</t>
        </r>
      </text>
    </comment>
    <comment ref="D145" authorId="1">
      <text>
        <r>
          <rPr>
            <b/>
            <sz val="9"/>
            <color indexed="81"/>
            <rFont val="Tahoma"/>
            <family val="2"/>
            <charset val="238"/>
          </rPr>
          <t>PCBM:</t>
        </r>
        <r>
          <rPr>
            <sz val="9"/>
            <color indexed="81"/>
            <rFont val="Tahoma"/>
            <family val="2"/>
            <charset val="238"/>
          </rPr>
          <t xml:space="preserve">
500 000 za javnu rasvetu dekorativnu 426913</t>
        </r>
      </text>
    </comment>
    <comment ref="C146" authorId="1">
      <text>
        <r>
          <rPr>
            <b/>
            <sz val="9"/>
            <color indexed="81"/>
            <rFont val="Tahoma"/>
            <family val="2"/>
            <charset val="238"/>
          </rPr>
          <t>PCBM:</t>
        </r>
        <r>
          <rPr>
            <sz val="9"/>
            <color indexed="81"/>
            <rFont val="Tahoma"/>
            <family val="2"/>
            <charset val="238"/>
          </rPr>
          <t xml:space="preserve">
спреман је и пројекат за Козницу од 5,5 и за МЗ Момин камен 875.000</t>
        </r>
      </text>
    </comment>
    <comment ref="D146" authorId="0">
      <text>
        <r>
          <rPr>
            <b/>
            <sz val="9"/>
            <color indexed="81"/>
            <rFont val="Tahoma"/>
            <family val="2"/>
          </rPr>
          <t>Branka:</t>
        </r>
        <r>
          <rPr>
            <sz val="9"/>
            <color indexed="81"/>
            <rFont val="Tahoma"/>
            <family val="2"/>
          </rPr>
          <t xml:space="preserve">
пројекти 250.000, осветљење Џеп код школе 1,осветљење кеја између мостоваоко 3,5
</t>
        </r>
        <r>
          <rPr>
            <b/>
            <sz val="9"/>
            <color indexed="81"/>
            <rFont val="Tahoma"/>
            <family val="2"/>
            <charset val="238"/>
          </rPr>
          <t xml:space="preserve"> НА 09 ИЗВОРУ 4,6 ОСТАЛО НА 01</t>
        </r>
      </text>
    </comment>
    <comment ref="D149" authorId="0">
      <text>
        <r>
          <rPr>
            <b/>
            <sz val="9"/>
            <color indexed="81"/>
            <rFont val="Tahoma"/>
            <family val="2"/>
          </rPr>
          <t>Branka:</t>
        </r>
        <r>
          <rPr>
            <sz val="9"/>
            <color indexed="81"/>
            <rFont val="Tahoma"/>
            <family val="2"/>
          </rPr>
          <t xml:space="preserve">
за сајамлокалне самоуправе</t>
        </r>
      </text>
    </comment>
    <comment ref="D150" authorId="0">
      <text>
        <r>
          <rPr>
            <b/>
            <sz val="9"/>
            <color indexed="81"/>
            <rFont val="Tahoma"/>
            <family val="2"/>
          </rPr>
          <t>Branka:</t>
        </r>
        <r>
          <rPr>
            <sz val="9"/>
            <color indexed="81"/>
            <rFont val="Tahoma"/>
            <family val="2"/>
          </rPr>
          <t xml:space="preserve">
за сајамлокалне самоуправе</t>
        </r>
      </text>
    </comment>
    <comment ref="D151" authorId="1">
      <text>
        <r>
          <rPr>
            <b/>
            <sz val="9"/>
            <color indexed="81"/>
            <rFont val="Tahoma"/>
            <family val="2"/>
            <charset val="238"/>
          </rPr>
          <t>PCBM:</t>
        </r>
        <r>
          <rPr>
            <sz val="9"/>
            <color indexed="81"/>
            <rFont val="Tahoma"/>
            <family val="2"/>
            <charset val="238"/>
          </rPr>
          <t xml:space="preserve">
препарцелација изузетог земљишта за потребе нових инвеститора</t>
        </r>
      </text>
    </comment>
    <comment ref="D153" authorId="1">
      <text>
        <r>
          <rPr>
            <b/>
            <sz val="9"/>
            <color indexed="81"/>
            <rFont val="Tahoma"/>
            <family val="2"/>
            <charset val="238"/>
          </rPr>
          <t>PCBM:</t>
        </r>
        <r>
          <rPr>
            <sz val="9"/>
            <color indexed="81"/>
            <rFont val="Tahoma"/>
            <family val="2"/>
            <charset val="238"/>
          </rPr>
          <t xml:space="preserve">
чланарина од 5,000.000 ЦРЈП и за Налед и СКГО  извор 01 са 2,2 милиона а 3 милиона извор 13</t>
        </r>
      </text>
    </comment>
    <comment ref="D154" authorId="1">
      <text>
        <r>
          <rPr>
            <b/>
            <sz val="9"/>
            <color indexed="81"/>
            <rFont val="Tahoma"/>
            <family val="2"/>
            <charset val="238"/>
          </rPr>
          <t>PCBM:</t>
        </r>
        <r>
          <rPr>
            <sz val="9"/>
            <color indexed="81"/>
            <rFont val="Tahoma"/>
            <family val="2"/>
            <charset val="238"/>
          </rPr>
          <t xml:space="preserve">
таксе код овера уговора о изузимању земљишта у суду</t>
        </r>
      </text>
    </comment>
    <comment ref="D155" authorId="0">
      <text>
        <r>
          <rPr>
            <b/>
            <sz val="8"/>
            <color indexed="81"/>
            <rFont val="Tahoma"/>
            <family val="2"/>
          </rPr>
          <t>Branka:</t>
        </r>
        <r>
          <rPr>
            <sz val="8"/>
            <color indexed="81"/>
            <rFont val="Tahoma"/>
            <family val="2"/>
          </rPr>
          <t xml:space="preserve">
пројекат Новеко</t>
        </r>
      </text>
    </comment>
    <comment ref="C156" authorId="1">
      <text>
        <r>
          <rPr>
            <b/>
            <sz val="9"/>
            <color indexed="81"/>
            <rFont val="Tahoma"/>
            <family val="2"/>
            <charset val="238"/>
          </rPr>
          <t>PCBM:</t>
        </r>
        <r>
          <rPr>
            <sz val="9"/>
            <color indexed="81"/>
            <rFont val="Tahoma"/>
            <family val="2"/>
            <charset val="238"/>
          </rPr>
          <t xml:space="preserve">
надзор 230000 и ХТЗ 240000</t>
        </r>
      </text>
    </comment>
    <comment ref="D158" authorId="1">
      <text>
        <r>
          <rPr>
            <b/>
            <sz val="9"/>
            <color indexed="81"/>
            <rFont val="Tahoma"/>
            <family val="2"/>
            <charset val="238"/>
          </rPr>
          <t>PCBM:</t>
        </r>
        <r>
          <rPr>
            <sz val="9"/>
            <color indexed="81"/>
            <rFont val="Tahoma"/>
            <family val="2"/>
            <charset val="238"/>
          </rPr>
          <t xml:space="preserve">
на 13 укупно 2,5 и  на 09 укупно 500.000</t>
        </r>
      </text>
    </comment>
    <comment ref="D159" authorId="1">
      <text>
        <r>
          <rPr>
            <b/>
            <sz val="9"/>
            <color indexed="81"/>
            <rFont val="Tahoma"/>
            <family val="2"/>
            <charset val="238"/>
          </rPr>
          <t>PCBM:</t>
        </r>
        <r>
          <rPr>
            <sz val="9"/>
            <color indexed="81"/>
            <rFont val="Tahoma"/>
            <family val="2"/>
            <charset val="238"/>
          </rPr>
          <t xml:space="preserve">
на извор 13 од укупно 4 милиона а 09 још 2 милиона</t>
        </r>
      </text>
    </comment>
    <comment ref="D160" authorId="1">
      <text>
        <r>
          <rPr>
            <b/>
            <sz val="9"/>
            <color indexed="81"/>
            <rFont val="Tahoma"/>
            <family val="2"/>
            <charset val="238"/>
          </rPr>
          <t>PCBM:</t>
        </r>
        <r>
          <rPr>
            <sz val="9"/>
            <color indexed="81"/>
            <rFont val="Tahoma"/>
            <family val="2"/>
            <charset val="238"/>
          </rPr>
          <t xml:space="preserve">
Help i sa aneksom 4  ukupno 10.320E i sa aneksom 5 u prvom delu sa 2244Eura. Ostaje oko 500.000 za jos nesto  ИЗВОР 13 од 1 милион и извор 09 од 1 милион</t>
        </r>
      </text>
    </comment>
    <comment ref="D161" authorId="1">
      <text>
        <r>
          <rPr>
            <b/>
            <sz val="9"/>
            <color indexed="81"/>
            <rFont val="Tahoma"/>
            <family val="2"/>
            <charset val="238"/>
          </rPr>
          <t>PCBM:</t>
        </r>
        <r>
          <rPr>
            <sz val="9"/>
            <color indexed="81"/>
            <rFont val="Tahoma"/>
            <family val="2"/>
            <charset val="238"/>
          </rPr>
          <t xml:space="preserve">
по Маријиној процени м2 - 1078,00 дин, извор 09</t>
        </r>
      </text>
    </comment>
    <comment ref="C167" authorId="1">
      <text>
        <r>
          <rPr>
            <b/>
            <sz val="9"/>
            <color indexed="81"/>
            <rFont val="Tahoma"/>
            <family val="2"/>
            <charset val="238"/>
          </rPr>
          <t>PCBM:</t>
        </r>
        <r>
          <rPr>
            <sz val="9"/>
            <color indexed="81"/>
            <rFont val="Tahoma"/>
            <family val="2"/>
            <charset val="238"/>
          </rPr>
          <t xml:space="preserve">
надзор 230000 и ХТЗ 240000</t>
        </r>
      </text>
    </comment>
    <comment ref="D168" authorId="0">
      <text>
        <r>
          <rPr>
            <b/>
            <sz val="9"/>
            <color indexed="81"/>
            <rFont val="Tahoma"/>
            <family val="2"/>
          </rPr>
          <t>Branka:</t>
        </r>
        <r>
          <rPr>
            <sz val="9"/>
            <color indexed="81"/>
            <rFont val="Tahoma"/>
            <family val="2"/>
          </rPr>
          <t xml:space="preserve">
РАДОВИ СУ 24,1 ОД чега министарство 15 а ми 9,1 на шта се додају пропратни трошкови надзора и обезбеђења</t>
        </r>
      </text>
    </comment>
    <comment ref="C169" authorId="1">
      <text>
        <r>
          <rPr>
            <b/>
            <sz val="9"/>
            <color indexed="81"/>
            <rFont val="Tahoma"/>
            <family val="2"/>
            <charset val="238"/>
          </rPr>
          <t>PCBM:</t>
        </r>
        <r>
          <rPr>
            <sz val="9"/>
            <color indexed="81"/>
            <rFont val="Tahoma"/>
            <family val="2"/>
            <charset val="238"/>
          </rPr>
          <t xml:space="preserve">
надзор 230000 и ХТЗ 240000</t>
        </r>
      </text>
    </comment>
    <comment ref="D174" authorId="0">
      <text>
        <r>
          <rPr>
            <b/>
            <sz val="9"/>
            <color indexed="81"/>
            <rFont val="Tahoma"/>
            <family val="2"/>
          </rPr>
          <t>Branka:</t>
        </r>
        <r>
          <rPr>
            <sz val="9"/>
            <color indexed="81"/>
            <rFont val="Tahoma"/>
            <family val="2"/>
          </rPr>
          <t xml:space="preserve">
дивац омладински фондови 1,000.000 суфинансирање ИЗВОР 01 јер је конкурс расписан</t>
        </r>
      </text>
    </comment>
    <comment ref="D176" authorId="1">
      <text>
        <r>
          <rPr>
            <b/>
            <sz val="9"/>
            <color indexed="81"/>
            <rFont val="Tahoma"/>
            <family val="2"/>
            <charset val="238"/>
          </rPr>
          <t>PCBM:</t>
        </r>
        <r>
          <rPr>
            <sz val="9"/>
            <color indexed="81"/>
            <rFont val="Tahoma"/>
            <family val="2"/>
            <charset val="238"/>
          </rPr>
          <t xml:space="preserve">
од тога 1,5 за пројекат за цркву други део </t>
        </r>
      </text>
    </comment>
    <comment ref="C180" authorId="0">
      <text>
        <r>
          <rPr>
            <b/>
            <sz val="8"/>
            <color indexed="81"/>
            <rFont val="Tahoma"/>
            <family val="2"/>
          </rPr>
          <t>Branka:</t>
        </r>
        <r>
          <rPr>
            <sz val="8"/>
            <color indexed="81"/>
            <rFont val="Tahoma"/>
            <family val="2"/>
          </rPr>
          <t xml:space="preserve">
пренос из 2017. године, ограда и грејање 3,000.000,00; вишкови радова 910.000,00;  и радови по анексу уговора 12,500.000</t>
        </r>
      </text>
    </comment>
    <comment ref="D182" authorId="1">
      <text>
        <r>
          <rPr>
            <b/>
            <sz val="9"/>
            <color indexed="81"/>
            <rFont val="Tahoma"/>
            <family val="2"/>
            <charset val="238"/>
          </rPr>
          <t>PCBM:</t>
        </r>
        <r>
          <rPr>
            <sz val="9"/>
            <color indexed="81"/>
            <rFont val="Tahoma"/>
            <family val="2"/>
            <charset val="238"/>
          </rPr>
          <t xml:space="preserve">
по фин. Плановима: Бранко - 11; Сава - 17,7 ; Вук 9,8; Путник 7,8</t>
        </r>
      </text>
    </comment>
    <comment ref="D183" authorId="1">
      <text>
        <r>
          <rPr>
            <b/>
            <sz val="9"/>
            <color indexed="81"/>
            <rFont val="Tahoma"/>
            <family val="2"/>
            <charset val="238"/>
          </rPr>
          <t>PCBM: ОШС:Сава</t>
        </r>
        <r>
          <rPr>
            <sz val="9"/>
            <color indexed="81"/>
            <rFont val="Tahoma"/>
            <family val="2"/>
            <charset val="238"/>
          </rPr>
          <t xml:space="preserve">
по фин. Плановима: Бранко - 0,5; Сава - 3,5 ; Вук 0,6; Путник 0,22</t>
        </r>
      </text>
    </comment>
    <comment ref="D184" authorId="1">
      <text>
        <r>
          <rPr>
            <b/>
            <sz val="9"/>
            <color indexed="81"/>
            <rFont val="Tahoma"/>
            <family val="2"/>
            <charset val="238"/>
          </rPr>
          <t>PCBM:</t>
        </r>
        <r>
          <rPr>
            <sz val="9"/>
            <color indexed="81"/>
            <rFont val="Tahoma"/>
            <family val="2"/>
            <charset val="238"/>
          </rPr>
          <t xml:space="preserve">
bezbednost zdravlje, i slicno na izvoru 01
</t>
        </r>
      </text>
    </comment>
    <comment ref="D185" authorId="1">
      <text>
        <r>
          <rPr>
            <b/>
            <sz val="9"/>
            <color indexed="81"/>
            <rFont val="Tahoma"/>
            <family val="2"/>
            <charset val="238"/>
          </rPr>
          <t>PCBM:</t>
        </r>
        <r>
          <rPr>
            <sz val="9"/>
            <color indexed="81"/>
            <rFont val="Tahoma"/>
            <family val="2"/>
            <charset val="238"/>
          </rPr>
          <t xml:space="preserve">
наменски трансфер канцеларије за јавна улагања za PDV  19,6 na izvoru 07 i nadzor 1.4 nadzor i slicno na 01</t>
        </r>
      </text>
    </comment>
    <comment ref="D187" authorId="1">
      <text>
        <r>
          <rPr>
            <b/>
            <sz val="9"/>
            <color indexed="81"/>
            <rFont val="Tahoma"/>
            <family val="2"/>
            <charset val="238"/>
          </rPr>
          <t>PCBM:</t>
        </r>
        <r>
          <rPr>
            <sz val="9"/>
            <color indexed="81"/>
            <rFont val="Tahoma"/>
            <family val="2"/>
            <charset val="238"/>
          </rPr>
          <t xml:space="preserve">
техничкој додат милион за текуће поправке крова и теретане а гимназији умањено 1,0 на терет повећања  у капиталним трансферима за опремање ИТ кабинета</t>
        </r>
      </text>
    </comment>
    <comment ref="D188" authorId="1">
      <text>
        <r>
          <rPr>
            <b/>
            <sz val="9"/>
            <color indexed="81"/>
            <rFont val="Tahoma"/>
            <family val="2"/>
            <charset val="238"/>
          </rPr>
          <t>PCBM:</t>
        </r>
        <r>
          <rPr>
            <sz val="9"/>
            <color indexed="81"/>
            <rFont val="Tahoma"/>
            <family val="2"/>
            <charset val="238"/>
          </rPr>
          <t xml:space="preserve">
2,350.000, техничка од чега 2 за аутобус, г-400.000. Након тога додато још 600 техничкој за аутобус а гимназији 1,2 за ИТ кабинет</t>
        </r>
      </text>
    </comment>
    <comment ref="D191" authorId="1">
      <text>
        <r>
          <rPr>
            <b/>
            <sz val="9"/>
            <color indexed="81"/>
            <rFont val="Tahoma"/>
            <family val="2"/>
            <charset val="238"/>
          </rPr>
          <t>PCBM:</t>
        </r>
        <r>
          <rPr>
            <sz val="9"/>
            <color indexed="81"/>
            <rFont val="Tahoma"/>
            <family val="2"/>
            <charset val="238"/>
          </rPr>
          <t xml:space="preserve">
за износ од 8,2 милиона извор је 07 а остало је о1</t>
        </r>
      </text>
    </comment>
    <comment ref="C198" authorId="0">
      <text>
        <r>
          <rPr>
            <b/>
            <sz val="8"/>
            <color indexed="81"/>
            <rFont val="Tahoma"/>
            <family val="2"/>
          </rPr>
          <t>Branka:</t>
        </r>
        <r>
          <rPr>
            <sz val="8"/>
            <color indexed="81"/>
            <rFont val="Tahoma"/>
            <family val="2"/>
          </rPr>
          <t xml:space="preserve">
и плесна школа и спремацица
</t>
        </r>
      </text>
    </comment>
    <comment ref="D198" authorId="0">
      <text>
        <r>
          <rPr>
            <b/>
            <sz val="9"/>
            <color indexed="81"/>
            <rFont val="Tahoma"/>
            <family val="2"/>
          </rPr>
          <t>Branka:</t>
        </r>
        <r>
          <rPr>
            <sz val="9"/>
            <color indexed="81"/>
            <rFont val="Tahoma"/>
            <family val="2"/>
          </rPr>
          <t xml:space="preserve">
псих. И стоматолог</t>
        </r>
      </text>
    </comment>
    <comment ref="D214" authorId="1">
      <text>
        <r>
          <rPr>
            <b/>
            <sz val="9"/>
            <color indexed="81"/>
            <rFont val="Tahoma"/>
            <family val="2"/>
            <charset val="238"/>
          </rPr>
          <t>PCBM:</t>
        </r>
        <r>
          <rPr>
            <sz val="9"/>
            <color indexed="81"/>
            <rFont val="Tahoma"/>
            <family val="2"/>
            <charset val="238"/>
          </rPr>
          <t xml:space="preserve">
тражили 4,000.000</t>
        </r>
      </text>
    </comment>
    <comment ref="D215" authorId="1">
      <text>
        <r>
          <rPr>
            <b/>
            <sz val="9"/>
            <color indexed="81"/>
            <rFont val="Tahoma"/>
            <family val="2"/>
            <charset val="238"/>
          </rPr>
          <t>PCBM:</t>
        </r>
        <r>
          <rPr>
            <sz val="9"/>
            <color indexed="81"/>
            <rFont val="Tahoma"/>
            <family val="2"/>
            <charset val="238"/>
          </rPr>
          <t xml:space="preserve">
одвајање воде и струје</t>
        </r>
      </text>
    </comment>
    <comment ref="D216" authorId="1">
      <text>
        <r>
          <rPr>
            <b/>
            <sz val="9"/>
            <color indexed="81"/>
            <rFont val="Tahoma"/>
            <family val="2"/>
            <charset val="238"/>
          </rPr>
          <t>PCBM:</t>
        </r>
        <r>
          <rPr>
            <sz val="9"/>
            <color indexed="81"/>
            <rFont val="Tahoma"/>
            <family val="2"/>
            <charset val="238"/>
          </rPr>
          <t xml:space="preserve">
тражили су 2,300.000</t>
        </r>
      </text>
    </comment>
    <comment ref="D217" authorId="1">
      <text>
        <r>
          <rPr>
            <b/>
            <sz val="9"/>
            <color indexed="81"/>
            <rFont val="Tahoma"/>
            <family val="2"/>
            <charset val="238"/>
          </rPr>
          <t>PCBM:</t>
        </r>
        <r>
          <rPr>
            <sz val="9"/>
            <color indexed="81"/>
            <rFont val="Tahoma"/>
            <family val="2"/>
            <charset val="238"/>
          </rPr>
          <t xml:space="preserve">
тражили 2,230.000</t>
        </r>
      </text>
    </comment>
    <comment ref="D220" authorId="1">
      <text>
        <r>
          <rPr>
            <b/>
            <sz val="9"/>
            <color indexed="81"/>
            <rFont val="Tahoma"/>
            <family val="2"/>
            <charset val="238"/>
          </rPr>
          <t>PCBM:</t>
        </r>
        <r>
          <rPr>
            <sz val="9"/>
            <color indexed="81"/>
            <rFont val="Tahoma"/>
            <family val="2"/>
            <charset val="238"/>
          </rPr>
          <t xml:space="preserve">
по поравнању</t>
        </r>
      </text>
    </comment>
    <comment ref="D222" authorId="0">
      <text>
        <r>
          <rPr>
            <b/>
            <sz val="9"/>
            <color indexed="81"/>
            <rFont val="Tahoma"/>
            <family val="2"/>
          </rPr>
          <t>Branka:</t>
        </r>
        <r>
          <rPr>
            <sz val="9"/>
            <color indexed="81"/>
            <rFont val="Tahoma"/>
            <family val="2"/>
          </rPr>
          <t xml:space="preserve">
6,2 плочице и 1 за рекламе и ограда и 0,1 за решетку за базен
- капитални пројекти преко извора 01 </t>
        </r>
      </text>
    </comment>
    <comment ref="B223" authorId="1">
      <text>
        <r>
          <rPr>
            <b/>
            <sz val="9"/>
            <color indexed="81"/>
            <rFont val="Tahoma"/>
            <family val="2"/>
            <charset val="238"/>
          </rPr>
          <t>PCBM:</t>
        </r>
        <r>
          <rPr>
            <sz val="9"/>
            <color indexed="81"/>
            <rFont val="Tahoma"/>
            <family val="2"/>
            <charset val="238"/>
          </rPr>
          <t xml:space="preserve">
</t>
        </r>
      </text>
    </comment>
    <comment ref="D223" authorId="1">
      <text>
        <r>
          <rPr>
            <b/>
            <sz val="9"/>
            <color indexed="81"/>
            <rFont val="Tahoma"/>
            <family val="2"/>
            <charset val="238"/>
          </rPr>
          <t>PCBM:</t>
        </r>
        <r>
          <rPr>
            <sz val="9"/>
            <color indexed="81"/>
            <rFont val="Tahoma"/>
            <family val="2"/>
            <charset val="238"/>
          </rPr>
          <t xml:space="preserve">
500.000 за опрему за установу потрошено а 250 за лежаљке</t>
        </r>
      </text>
    </comment>
    <comment ref="D225" authorId="1">
      <text>
        <r>
          <rPr>
            <b/>
            <sz val="9"/>
            <color indexed="81"/>
            <rFont val="Tahoma"/>
            <family val="2"/>
            <charset val="238"/>
          </rPr>
          <t>PCBM:</t>
        </r>
        <r>
          <rPr>
            <sz val="9"/>
            <color indexed="81"/>
            <rFont val="Tahoma"/>
            <family val="2"/>
            <charset val="238"/>
          </rPr>
          <t xml:space="preserve">
по поравнању</t>
        </r>
      </text>
    </comment>
    <comment ref="D227" authorId="1">
      <text>
        <r>
          <rPr>
            <b/>
            <sz val="9"/>
            <color indexed="81"/>
            <rFont val="Tahoma"/>
            <family val="2"/>
            <charset val="238"/>
          </rPr>
          <t>PCBM:</t>
        </r>
        <r>
          <rPr>
            <sz val="9"/>
            <color indexed="81"/>
            <rFont val="Tahoma"/>
            <family val="2"/>
            <charset val="238"/>
          </rPr>
          <t xml:space="preserve">
и марија евтимов и часлав младеновић благо нама</t>
        </r>
      </text>
    </comment>
    <comment ref="D234" authorId="1">
      <text>
        <r>
          <rPr>
            <b/>
            <sz val="9"/>
            <color indexed="81"/>
            <rFont val="Tahoma"/>
            <family val="2"/>
            <charset val="238"/>
          </rPr>
          <t>PCBM:</t>
        </r>
        <r>
          <rPr>
            <sz val="9"/>
            <color indexed="81"/>
            <rFont val="Tahoma"/>
            <family val="2"/>
            <charset val="238"/>
          </rPr>
          <t xml:space="preserve">
додатни уговор о делу</t>
        </r>
      </text>
    </comment>
    <comment ref="D236" authorId="1">
      <text>
        <r>
          <rPr>
            <b/>
            <sz val="9"/>
            <color indexed="81"/>
            <rFont val="Tahoma"/>
            <family val="2"/>
            <charset val="238"/>
          </rPr>
          <t>PCBM:</t>
        </r>
        <r>
          <rPr>
            <sz val="9"/>
            <color indexed="81"/>
            <rFont val="Tahoma"/>
            <family val="2"/>
            <charset val="238"/>
          </rPr>
          <t xml:space="preserve">
за кров још 280, за вентилацију још 120 и да не затреба100</t>
        </r>
      </text>
    </comment>
    <comment ref="B240" authorId="1">
      <text>
        <r>
          <rPr>
            <b/>
            <sz val="9"/>
            <color indexed="81"/>
            <rFont val="Tahoma"/>
            <family val="2"/>
            <charset val="238"/>
          </rPr>
          <t>PCBM:</t>
        </r>
        <r>
          <rPr>
            <sz val="9"/>
            <color indexed="81"/>
            <rFont val="Tahoma"/>
            <family val="2"/>
            <charset val="238"/>
          </rPr>
          <t xml:space="preserve">
допуна до минималца за две раднице</t>
        </r>
      </text>
    </comment>
    <comment ref="D241" authorId="1">
      <text>
        <r>
          <rPr>
            <b/>
            <sz val="9"/>
            <color indexed="81"/>
            <rFont val="Tahoma"/>
            <family val="2"/>
            <charset val="238"/>
          </rPr>
          <t>PCBM:</t>
        </r>
        <r>
          <rPr>
            <sz val="9"/>
            <color indexed="81"/>
            <rFont val="Tahoma"/>
            <family val="2"/>
            <charset val="238"/>
          </rPr>
          <t xml:space="preserve">
капитално одржавање објекта у делу одимљавања и завесе од укупно 1+1,6</t>
        </r>
      </text>
    </comment>
    <comment ref="D248" authorId="1">
      <text>
        <r>
          <rPr>
            <b/>
            <sz val="9"/>
            <color indexed="81"/>
            <rFont val="Tahoma"/>
            <family val="2"/>
            <charset val="238"/>
          </rPr>
          <t>PCBM:</t>
        </r>
        <r>
          <rPr>
            <sz val="9"/>
            <color indexed="81"/>
            <rFont val="Tahoma"/>
            <family val="2"/>
            <charset val="238"/>
          </rPr>
          <t xml:space="preserve">
провизије банака</t>
        </r>
      </text>
    </comment>
    <comment ref="D249" authorId="1">
      <text>
        <r>
          <rPr>
            <b/>
            <sz val="9"/>
            <color indexed="81"/>
            <rFont val="Tahoma"/>
            <family val="2"/>
            <charset val="238"/>
          </rPr>
          <t>PCBM:</t>
        </r>
        <r>
          <rPr>
            <sz val="9"/>
            <color indexed="81"/>
            <rFont val="Tahoma"/>
            <family val="2"/>
            <charset val="238"/>
          </rPr>
          <t xml:space="preserve">
евентуални избори и слично</t>
        </r>
      </text>
    </comment>
    <comment ref="D250" authorId="1">
      <text>
        <r>
          <rPr>
            <b/>
            <sz val="9"/>
            <color indexed="81"/>
            <rFont val="Tahoma"/>
            <family val="2"/>
            <charset val="238"/>
          </rPr>
          <t>PCBM:</t>
        </r>
        <r>
          <rPr>
            <sz val="9"/>
            <color indexed="81"/>
            <rFont val="Tahoma"/>
            <family val="2"/>
            <charset val="238"/>
          </rPr>
          <t xml:space="preserve">
за манифестације из културеи спорта a 200.000 - 4249 за булдожер за гробље у Стублу</t>
        </r>
      </text>
    </comment>
    <comment ref="D251" authorId="1">
      <text>
        <r>
          <rPr>
            <b/>
            <sz val="9"/>
            <color indexed="81"/>
            <rFont val="Tahoma"/>
            <family val="2"/>
            <charset val="238"/>
          </rPr>
          <t>PCBM:</t>
        </r>
        <r>
          <rPr>
            <sz val="9"/>
            <color indexed="81"/>
            <rFont val="Tahoma"/>
            <family val="2"/>
            <charset val="238"/>
          </rPr>
          <t xml:space="preserve">
20.000за гориво за МЗ Јастребац за обилазак радова</t>
        </r>
      </text>
    </comment>
    <comment ref="D252" authorId="1">
      <text>
        <r>
          <rPr>
            <b/>
            <sz val="9"/>
            <color indexed="81"/>
            <rFont val="Tahoma"/>
            <family val="2"/>
            <charset val="238"/>
          </rPr>
          <t>PCBM:</t>
        </r>
        <r>
          <rPr>
            <sz val="9"/>
            <color indexed="81"/>
            <rFont val="Tahoma"/>
            <family val="2"/>
            <charset val="238"/>
          </rPr>
          <t xml:space="preserve">
деблокаде рачуна месних заједница</t>
        </r>
      </text>
    </comment>
  </commentList>
</comments>
</file>

<file path=xl/sharedStrings.xml><?xml version="1.0" encoding="utf-8"?>
<sst xmlns="http://schemas.openxmlformats.org/spreadsheetml/2006/main" count="7357" uniqueCount="4764">
  <si>
    <t>А.</t>
  </si>
  <si>
    <t>РАЧУН ПРИХОДА И ПРИМАЊА</t>
  </si>
  <si>
    <t>Економска класификација</t>
  </si>
  <si>
    <t>у динарима</t>
  </si>
  <si>
    <t>Укупни приходи и примања остварени по основу продаје нефинансијске имовине</t>
  </si>
  <si>
    <t>Укупни расходи и издаци за набавку нефинансијске имовине</t>
  </si>
  <si>
    <t>4 + 5</t>
  </si>
  <si>
    <t>Б.</t>
  </si>
  <si>
    <t xml:space="preserve"> РАЧУН ФИНАНСИРАЊА</t>
  </si>
  <si>
    <t>Примања од задуживања</t>
  </si>
  <si>
    <t>Примања од продаје финансијске имовине</t>
  </si>
  <si>
    <t>Издаци за отплату главнице дуга</t>
  </si>
  <si>
    <t>Нето финансирање</t>
  </si>
  <si>
    <t>1.</t>
  </si>
  <si>
    <t>2.</t>
  </si>
  <si>
    <t>3.</t>
  </si>
  <si>
    <t>4.</t>
  </si>
  <si>
    <t>Издаци за набавку финансијске имовине (осим за набавку домаћих хартија од вредности)</t>
  </si>
  <si>
    <t>5.</t>
  </si>
  <si>
    <t>6.</t>
  </si>
  <si>
    <t>Р.бр.</t>
  </si>
  <si>
    <t>ОПИС</t>
  </si>
  <si>
    <t>Шифра економске класификације</t>
  </si>
  <si>
    <t>Средства из буџета</t>
  </si>
  <si>
    <t>I</t>
  </si>
  <si>
    <t>УКУПНИ ПРИХОДИ И ПРИМАЊА ОД ПРОДАЈЕ НЕФИНАНСИЈСКЕ ИМОВИНЕ</t>
  </si>
  <si>
    <t>7+8</t>
  </si>
  <si>
    <t>Порески приходи</t>
  </si>
  <si>
    <t>1.1.</t>
  </si>
  <si>
    <t>Порез на доходак, добит и капиталне добитке (осим самодоприноса)</t>
  </si>
  <si>
    <t>1.2.</t>
  </si>
  <si>
    <t>Самодопринос</t>
  </si>
  <si>
    <t>1.3.</t>
  </si>
  <si>
    <t>Порез на имовину</t>
  </si>
  <si>
    <t>1.6.</t>
  </si>
  <si>
    <t>Остали порески приходи</t>
  </si>
  <si>
    <t xml:space="preserve">Непорески приходи </t>
  </si>
  <si>
    <t>2.1</t>
  </si>
  <si>
    <t>Накнада за коришћење природних добара</t>
  </si>
  <si>
    <t>2.2</t>
  </si>
  <si>
    <t>Накнада за коришћење шумског и пољопривредног земљишта</t>
  </si>
  <si>
    <t>Накнада за коришћење грађевинског земљишта</t>
  </si>
  <si>
    <t>Накнада за коришћење природног лековитог фактора</t>
  </si>
  <si>
    <t>2.3</t>
  </si>
  <si>
    <t>Приход од имовине који припада имаоцима полисе осигурања</t>
  </si>
  <si>
    <t>2.4</t>
  </si>
  <si>
    <t>Накнада за обавезни здравствени преглед биља</t>
  </si>
  <si>
    <t>2.5</t>
  </si>
  <si>
    <t>Накнада за уређивање грађевинског земљишта</t>
  </si>
  <si>
    <t>2.6</t>
  </si>
  <si>
    <t>Приходи настали продајом услуга корисника средстава буџета јединице локлане самоуправе чије је пружање уговорено са физичким и правним лицима</t>
  </si>
  <si>
    <t>Остали непорески приходи</t>
  </si>
  <si>
    <t>Донације</t>
  </si>
  <si>
    <t>731+732</t>
  </si>
  <si>
    <t>Трансфери</t>
  </si>
  <si>
    <t>Меморандумске ставке за рефундацију расхода</t>
  </si>
  <si>
    <t>Примања од продаје нефинансијске имовине</t>
  </si>
  <si>
    <t>II</t>
  </si>
  <si>
    <t>УКУПНИ РАСХОДИ И ИЗДАЦИ ЗА НАБАВКУ НЕФИНАНСИЈСКЕ ИМОВИНЕ</t>
  </si>
  <si>
    <t>4+5</t>
  </si>
  <si>
    <t>Текући расходи</t>
  </si>
  <si>
    <t>4 - 463</t>
  </si>
  <si>
    <t>Расходи за запослене</t>
  </si>
  <si>
    <t>Коришћење роба и услуга</t>
  </si>
  <si>
    <t>Употреба основних средстава</t>
  </si>
  <si>
    <t>1.4.</t>
  </si>
  <si>
    <t>Отплата камата</t>
  </si>
  <si>
    <t>1.5.</t>
  </si>
  <si>
    <t>Субвенције</t>
  </si>
  <si>
    <t>Социјална заштита из буџета</t>
  </si>
  <si>
    <t>1.7.</t>
  </si>
  <si>
    <t>Остали расходи</t>
  </si>
  <si>
    <t>48+49</t>
  </si>
  <si>
    <t>Издаци за набавку нефинансијске имовине</t>
  </si>
  <si>
    <t>Издаци за набавку финансијске имовине (осим 6211)</t>
  </si>
  <si>
    <t>III</t>
  </si>
  <si>
    <t>ПРИМАЊА ОД ПРОДАЈЕ ФИНАНСИЈСКЕ ИМОВИНЕ И ЗАДУЖИВАЊА</t>
  </si>
  <si>
    <t>Задуживање</t>
  </si>
  <si>
    <t>Задуживање код домаћих кредитора</t>
  </si>
  <si>
    <t>Задуживање код страних кредитора</t>
  </si>
  <si>
    <t>Примања по основу отплате кредита и продаје финансијске имовине</t>
  </si>
  <si>
    <t>IV</t>
  </si>
  <si>
    <t>ОТПЛАТА ДУГА И НАБАВКА ФИНАНСИЈСКЕ ИМОВИНЕ</t>
  </si>
  <si>
    <t>Отплата дуга</t>
  </si>
  <si>
    <t>Отплата дуга домаћим кредиторима</t>
  </si>
  <si>
    <t>Отплата дуга страним кредиторима</t>
  </si>
  <si>
    <t>Отплата дуга по гаранцијама</t>
  </si>
  <si>
    <t>Набавка финансијске имовине</t>
  </si>
  <si>
    <t>V</t>
  </si>
  <si>
    <t>НЕРАСПОРЕЂЕНИ ВИШАК ПРИХОДА ИЗ РАНИЈИХ ГОДИНА</t>
  </si>
  <si>
    <t>2.7</t>
  </si>
  <si>
    <t>2.8</t>
  </si>
  <si>
    <t>ФУНКЦИОНАЛНА КЛАСИФИКАЦИЈА</t>
  </si>
  <si>
    <t>СОЦИЈАЛНА ЗАШТИТА</t>
  </si>
  <si>
    <t>Болест и инвалидност</t>
  </si>
  <si>
    <t>Старост</t>
  </si>
  <si>
    <t>Корисници породичне пензије</t>
  </si>
  <si>
    <t>Породица и деца</t>
  </si>
  <si>
    <t>Незапосленост</t>
  </si>
  <si>
    <t>Становање</t>
  </si>
  <si>
    <t>Социјална помоћ угроженом становништву, некласификована на другом месту</t>
  </si>
  <si>
    <r>
      <t xml:space="preserve">Социјална заштита - </t>
    </r>
    <r>
      <rPr>
        <sz val="7"/>
        <color rgb="FF000000"/>
        <rFont val="Times New Roman Italic"/>
      </rPr>
      <t xml:space="preserve"> </t>
    </r>
    <r>
      <rPr>
        <sz val="9"/>
        <color rgb="FF000000"/>
        <rFont val="Times New Roman Italic"/>
      </rPr>
      <t>истраживање и развој</t>
    </r>
  </si>
  <si>
    <t>Социјална заштита некласификована на другом месту</t>
  </si>
  <si>
    <t>ОПШТЕ ЈАВНЕ УСЛУГЕ</t>
  </si>
  <si>
    <t>Извршни и законодавни органи, финансијски и фискални послови и спољни послови</t>
  </si>
  <si>
    <t>Извршни и законодавни органи</t>
  </si>
  <si>
    <t>Финансијски и фискални послови</t>
  </si>
  <si>
    <t>Спољни послови</t>
  </si>
  <si>
    <t>Економска помоћ иностранству</t>
  </si>
  <si>
    <t>Економска помоћ земљама у развоју и земљама у транзицији</t>
  </si>
  <si>
    <t>Економска помоћ преко међународних организација</t>
  </si>
  <si>
    <t>Опште услуге</t>
  </si>
  <si>
    <t>Опште кадровске услуге</t>
  </si>
  <si>
    <t>Опште услуге планирања и статистике</t>
  </si>
  <si>
    <t>Остале опште услуге</t>
  </si>
  <si>
    <t>Основно истраживање</t>
  </si>
  <si>
    <r>
      <t xml:space="preserve">Опште јавне услуге - </t>
    </r>
    <r>
      <rPr>
        <sz val="7"/>
        <color rgb="FF000000"/>
        <rFont val="Times New Roman Italic"/>
      </rPr>
      <t xml:space="preserve"> </t>
    </r>
    <r>
      <rPr>
        <sz val="9"/>
        <color rgb="FF000000"/>
        <rFont val="Times New Roman Italic"/>
      </rPr>
      <t>истраживање и развој</t>
    </r>
  </si>
  <si>
    <t>Опште јавне услуге некласификоване на другом месту</t>
  </si>
  <si>
    <t>Трансакције јавног  дуга</t>
  </si>
  <si>
    <t>Трансфери општег карактера између различитих нивоа власти</t>
  </si>
  <si>
    <t>ОДБРАНА</t>
  </si>
  <si>
    <t>Војна одбрана</t>
  </si>
  <si>
    <t>Цивилна одбрана</t>
  </si>
  <si>
    <t>Војна помоћ иностранству</t>
  </si>
  <si>
    <r>
      <t>Одбрана</t>
    </r>
    <r>
      <rPr>
        <sz val="7"/>
        <color rgb="FF000000"/>
        <rFont val="Times New Roman Italic"/>
      </rPr>
      <t xml:space="preserve"> </t>
    </r>
    <r>
      <rPr>
        <sz val="9"/>
        <color rgb="FF000000"/>
        <rFont val="Times New Roman Italic"/>
      </rPr>
      <t>-</t>
    </r>
    <r>
      <rPr>
        <sz val="7"/>
        <color rgb="FF000000"/>
        <rFont val="Times New Roman Italic"/>
      </rPr>
      <t xml:space="preserve"> </t>
    </r>
    <r>
      <rPr>
        <sz val="9"/>
        <color rgb="FF000000"/>
        <rFont val="Times New Roman Italic"/>
      </rPr>
      <t>истраживање и развој</t>
    </r>
  </si>
  <si>
    <t>Одбрана некласификована на другом месту</t>
  </si>
  <si>
    <t>ЈАВНИ РЕД И БЕЗБЕДНОСТ</t>
  </si>
  <si>
    <t>Услуге полиције</t>
  </si>
  <si>
    <t>Услуге противпожарне заштите</t>
  </si>
  <si>
    <t>Судови</t>
  </si>
  <si>
    <t>Јавни ред и безбедност - истраживање и развој</t>
  </si>
  <si>
    <t>Јавни ред и безбедност  некласификован на другом месту</t>
  </si>
  <si>
    <t>ЕКОНОМСКИ ПОСЛОВИ</t>
  </si>
  <si>
    <t>Општи економски и комерцијални послови и послови по питању рада</t>
  </si>
  <si>
    <t>Општи економски и комерцијални послови</t>
  </si>
  <si>
    <t>Општи послови по питању рада</t>
  </si>
  <si>
    <t>Пољопривреда, шумарство, лов и риболов</t>
  </si>
  <si>
    <t>Пољопривреда</t>
  </si>
  <si>
    <t>Шумарство</t>
  </si>
  <si>
    <t>Лов и риболов</t>
  </si>
  <si>
    <t>Гориво и енергија</t>
  </si>
  <si>
    <t>Угаљ и остала чврста минерална горива</t>
  </si>
  <si>
    <t>Нафта и природни гас</t>
  </si>
  <si>
    <t>Нуклеарно гориво</t>
  </si>
  <si>
    <t>Остала горива</t>
  </si>
  <si>
    <t>Електрична енергија</t>
  </si>
  <si>
    <t>Остала енергија</t>
  </si>
  <si>
    <t>Рударство, производња и изградња</t>
  </si>
  <si>
    <t>Ископавање минералних ресурса, изузев минералних горива</t>
  </si>
  <si>
    <t>Производња</t>
  </si>
  <si>
    <t>Изградња</t>
  </si>
  <si>
    <t>Саобраћај</t>
  </si>
  <si>
    <t>Друмски саобраћај</t>
  </si>
  <si>
    <t>Водени саобраћај</t>
  </si>
  <si>
    <t>Железнички саобраћај</t>
  </si>
  <si>
    <t>Ваздушни саобраћај</t>
  </si>
  <si>
    <t>Цевоводи и други облици саобраћаја</t>
  </si>
  <si>
    <t>Комуникације</t>
  </si>
  <si>
    <t>Остале делатности</t>
  </si>
  <si>
    <t>Трговина, смештај и складиштење</t>
  </si>
  <si>
    <t>Хотели и ресторани</t>
  </si>
  <si>
    <t>Туризам</t>
  </si>
  <si>
    <t>Вишенаменски развојни пројекти</t>
  </si>
  <si>
    <r>
      <t xml:space="preserve">Економски послови - </t>
    </r>
    <r>
      <rPr>
        <sz val="7"/>
        <color rgb="FF000000"/>
        <rFont val="Times New Roman Italic"/>
      </rPr>
      <t xml:space="preserve"> </t>
    </r>
    <r>
      <rPr>
        <sz val="9"/>
        <color rgb="FF000000"/>
        <rFont val="Times New Roman Italic"/>
      </rPr>
      <t>истраживање и развој</t>
    </r>
  </si>
  <si>
    <t>Истраживање и развој - Општи економски и комерцијални послови и послови по питању рада</t>
  </si>
  <si>
    <t>Истраживање и развој - Пољопривреда, шумарство, лов и риболов</t>
  </si>
  <si>
    <t>Истраживање и развој - Гориво и енергија</t>
  </si>
  <si>
    <t>Истраживање и развој - Рударство, производња и изградња</t>
  </si>
  <si>
    <t>Истраживање и развој - Саобраћај</t>
  </si>
  <si>
    <t>Истраживање и развој - Комуникације</t>
  </si>
  <si>
    <t>Истраживање и развој - Остале делатности</t>
  </si>
  <si>
    <t>Економски послови некласификовани на другом месту</t>
  </si>
  <si>
    <t>ЗАШТИТА ЖИВОТНЕ СРЕДИНЕ</t>
  </si>
  <si>
    <t>Управљање отпадом</t>
  </si>
  <si>
    <t>Управљање отпадним водама</t>
  </si>
  <si>
    <t>Смањење загађености</t>
  </si>
  <si>
    <t>Заштита биљног и животињског света  и крајолика</t>
  </si>
  <si>
    <r>
      <t xml:space="preserve">Заштита животне средине - </t>
    </r>
    <r>
      <rPr>
        <sz val="7"/>
        <color rgb="FF000000"/>
        <rFont val="Times New Roman Italic"/>
      </rPr>
      <t xml:space="preserve"> </t>
    </r>
    <r>
      <rPr>
        <sz val="9"/>
        <color rgb="FF000000"/>
        <rFont val="Times New Roman Italic"/>
      </rPr>
      <t>истраживање и развој</t>
    </r>
  </si>
  <si>
    <t>Заштита животне средине некласификована на другом месту</t>
  </si>
  <si>
    <t>ПОСЛОВИ СТАНОВАЊА И  ЗАЈЕДНИЦЕ</t>
  </si>
  <si>
    <t>Стамбени развој</t>
  </si>
  <si>
    <t>Развој заједнице</t>
  </si>
  <si>
    <t>Водоснабдевање</t>
  </si>
  <si>
    <t>Улична расвета</t>
  </si>
  <si>
    <t>Послови становања и заједнице - истраживање и развој</t>
  </si>
  <si>
    <t>Послови становања и заједнице некласификовани на другом месту</t>
  </si>
  <si>
    <t>ЗДРАВСТВО</t>
  </si>
  <si>
    <t>Медицински производи, помагала и опрема</t>
  </si>
  <si>
    <t>Фармацеутски производи</t>
  </si>
  <si>
    <t>Остали медицински производи</t>
  </si>
  <si>
    <t>Терапеутска помагала и опрема</t>
  </si>
  <si>
    <t>Ванболничке услуге</t>
  </si>
  <si>
    <t>Опште медицинске услуге</t>
  </si>
  <si>
    <t>Специјализоване медицинске услуге</t>
  </si>
  <si>
    <t>Стоматолошке услуге</t>
  </si>
  <si>
    <t>Парамедицинске услуге</t>
  </si>
  <si>
    <t>Болничке услуге</t>
  </si>
  <si>
    <t>Опште болничке услуге</t>
  </si>
  <si>
    <t>Специјализоване болничке услуге</t>
  </si>
  <si>
    <t>Услуге медицинских центара и породилишта</t>
  </si>
  <si>
    <t>Услуге домова  за негу и опоравак</t>
  </si>
  <si>
    <t>Услуге јавног здравства</t>
  </si>
  <si>
    <r>
      <t xml:space="preserve">Здравство </t>
    </r>
    <r>
      <rPr>
        <sz val="7"/>
        <color rgb="FF000000"/>
        <rFont val="Times New Roman Italic"/>
      </rPr>
      <t xml:space="preserve"> </t>
    </r>
    <r>
      <rPr>
        <sz val="9"/>
        <color rgb="FF000000"/>
        <rFont val="Times New Roman Italic"/>
      </rPr>
      <t>истраживање и развој</t>
    </r>
  </si>
  <si>
    <t>Здравство некласификовано на другом месту</t>
  </si>
  <si>
    <t>РЕКРЕАЦИЈА, СПОРТ, КУЛТУРА И ВЕРЕ</t>
  </si>
  <si>
    <t>Услуге рекреације и спорта</t>
  </si>
  <si>
    <t>Услуге културе</t>
  </si>
  <si>
    <t>Услуге емитовања и штампања</t>
  </si>
  <si>
    <t>Верске  и остале услуге заједнице</t>
  </si>
  <si>
    <r>
      <t>Рекреација, спорт, култура и вере</t>
    </r>
    <r>
      <rPr>
        <sz val="7"/>
        <color rgb="FF000000"/>
        <rFont val="Times New Roman Italic"/>
      </rPr>
      <t xml:space="preserve">  </t>
    </r>
    <r>
      <rPr>
        <sz val="9"/>
        <color rgb="FF000000"/>
        <rFont val="Times New Roman Italic"/>
      </rPr>
      <t>-</t>
    </r>
    <r>
      <rPr>
        <sz val="7"/>
        <color rgb="FF000000"/>
        <rFont val="Times New Roman Italic"/>
      </rPr>
      <t xml:space="preserve"> </t>
    </r>
    <r>
      <rPr>
        <sz val="9"/>
        <color rgb="FF000000"/>
        <rFont val="Times New Roman Italic"/>
      </rPr>
      <t>истраживање и развој</t>
    </r>
  </si>
  <si>
    <t>Рекреација, спорт, култура и вере, некласификовано на другом месту</t>
  </si>
  <si>
    <t>ОБРАЗОВАЊЕ</t>
  </si>
  <si>
    <t>Предшколско и основно образовање</t>
  </si>
  <si>
    <t>Предшколско образовање</t>
  </si>
  <si>
    <t>Основно образовање</t>
  </si>
  <si>
    <t>Основно образовање са домом ученика</t>
  </si>
  <si>
    <t>Основно образовање са средњом школом</t>
  </si>
  <si>
    <t>Специјално основно образовање</t>
  </si>
  <si>
    <t>Основно образовање са средњом школом и домом ученика</t>
  </si>
  <si>
    <t>Средње образовање</t>
  </si>
  <si>
    <t>Ниже средње образовање</t>
  </si>
  <si>
    <t>Више средње образовање</t>
  </si>
  <si>
    <t>Средње образовање са домом ученика</t>
  </si>
  <si>
    <t>Више образовање</t>
  </si>
  <si>
    <t>Више образовање са студентским домом</t>
  </si>
  <si>
    <t>Високо образовање</t>
  </si>
  <si>
    <t>Високо образовање - први степен</t>
  </si>
  <si>
    <t>Високо образовање -  други степен</t>
  </si>
  <si>
    <t>Образовање које није дефинисано нивоом</t>
  </si>
  <si>
    <t>Помоћне услуге образовању</t>
  </si>
  <si>
    <r>
      <t xml:space="preserve">Образовање - </t>
    </r>
    <r>
      <rPr>
        <sz val="7"/>
        <color rgb="FF000000"/>
        <rFont val="Times New Roman Italic"/>
      </rPr>
      <t xml:space="preserve"> </t>
    </r>
    <r>
      <rPr>
        <sz val="9"/>
        <color rgb="FF000000"/>
        <rFont val="Times New Roman Italic"/>
      </rPr>
      <t>истраживање и развој</t>
    </r>
  </si>
  <si>
    <t>Образовање некласификовано на другом месту</t>
  </si>
  <si>
    <t>КЛАСИФИКАЦИЈА ПО ИЗВОРИМА ФИНАНСИРАЊА</t>
  </si>
  <si>
    <t>01</t>
  </si>
  <si>
    <t>Приходи из буџета</t>
  </si>
  <si>
    <t>02</t>
  </si>
  <si>
    <t>Трансфери између корисника на истом нивоу</t>
  </si>
  <si>
    <t>03</t>
  </si>
  <si>
    <t>Социјални доприноси</t>
  </si>
  <si>
    <t>04</t>
  </si>
  <si>
    <t>Сопствени приходи буџетских корисника</t>
  </si>
  <si>
    <t>05</t>
  </si>
  <si>
    <t>Донације од иностраних земаља</t>
  </si>
  <si>
    <t>06</t>
  </si>
  <si>
    <t>Донације од међународних организација</t>
  </si>
  <si>
    <t>07</t>
  </si>
  <si>
    <t>Донације од осталих нивоа власти</t>
  </si>
  <si>
    <t>08</t>
  </si>
  <si>
    <t>09</t>
  </si>
  <si>
    <t>10</t>
  </si>
  <si>
    <t>Примања од домаћих задуживања</t>
  </si>
  <si>
    <t>11</t>
  </si>
  <si>
    <t>Примања од иностраних задуживања</t>
  </si>
  <si>
    <t>12</t>
  </si>
  <si>
    <t>Примања од отплате датих кредита и продаје финансијске имовине</t>
  </si>
  <si>
    <t>13</t>
  </si>
  <si>
    <t>Нераспоређени вишак прихода из ранијих година</t>
  </si>
  <si>
    <t>14</t>
  </si>
  <si>
    <t>Неутрошена средства од приватизације из претходних година</t>
  </si>
  <si>
    <t>15</t>
  </si>
  <si>
    <t>Неутрошена средства донација из претходних година</t>
  </si>
  <si>
    <t>16</t>
  </si>
  <si>
    <t>Родитељски динар за ваннаставне активности</t>
  </si>
  <si>
    <t>Опис</t>
  </si>
  <si>
    <t>ЕКОНОМСКА КЛАСИФИКАЦИЈА</t>
  </si>
  <si>
    <t xml:space="preserve">Нефинансијска имовина                                                                     </t>
  </si>
  <si>
    <t xml:space="preserve">Нефинансијска имовина у сталним средствима                                                                  </t>
  </si>
  <si>
    <t xml:space="preserve">Некретнине и опрема                                                                    </t>
  </si>
  <si>
    <t xml:space="preserve">Зграде и грађевински објекти                                                                   </t>
  </si>
  <si>
    <t xml:space="preserve">Стамбене зграде и станови                                                                   </t>
  </si>
  <si>
    <t xml:space="preserve">Стамбене зграде за јавне службенике                                                                  </t>
  </si>
  <si>
    <t xml:space="preserve">Стамбени простор за социјалне групе                                                                  </t>
  </si>
  <si>
    <t xml:space="preserve">Стамбени простор за избеглице                                                                   </t>
  </si>
  <si>
    <t xml:space="preserve">Остале стамбене зграде                                                                    </t>
  </si>
  <si>
    <t xml:space="preserve">Лизинг стамбених зграда и станова                                                                  </t>
  </si>
  <si>
    <t xml:space="preserve">Добити које су резултат промене вредности стамбених зграда и станова                                                             </t>
  </si>
  <si>
    <t xml:space="preserve">Друге промене у обиму стамбених зграда и станова                                                               </t>
  </si>
  <si>
    <t xml:space="preserve">Исправка вредности стамбених зграда и станова                                                                 </t>
  </si>
  <si>
    <t xml:space="preserve">Пословне зграде                                                                     </t>
  </si>
  <si>
    <t xml:space="preserve">Болнице, домови здравља и старачки домови                                                                 </t>
  </si>
  <si>
    <t xml:space="preserve">Остале пословне зграде                                                                    </t>
  </si>
  <si>
    <t xml:space="preserve">Лизинг пословних зграда                                                                    </t>
  </si>
  <si>
    <t xml:space="preserve">Добити које су резултат промене вредности пословних зграда                                                               </t>
  </si>
  <si>
    <t xml:space="preserve">Друге промене у обиму пословних зграда                                                                 </t>
  </si>
  <si>
    <t xml:space="preserve">Исправка вредности пословних зграда                                                                   </t>
  </si>
  <si>
    <t xml:space="preserve">Пословни простор и други објекти                                                                  </t>
  </si>
  <si>
    <t xml:space="preserve">Објекти за потребе образовања                                                                   </t>
  </si>
  <si>
    <t xml:space="preserve">Ресторани, одмаралишта                                                                     </t>
  </si>
  <si>
    <t xml:space="preserve">Складишта, силоси, гараже и сл.                                                                  </t>
  </si>
  <si>
    <t xml:space="preserve">Гранични прелази                                                                     </t>
  </si>
  <si>
    <t xml:space="preserve">Фабричке хале                                                                     </t>
  </si>
  <si>
    <t xml:space="preserve">Лизинг пословног простора и других објеката                                                                 </t>
  </si>
  <si>
    <t xml:space="preserve">Добити које су резултат промене вредности пословног простора и других објеката                                                            </t>
  </si>
  <si>
    <t xml:space="preserve">Друге промене у обиму пословног простора и других објеката                                                              </t>
  </si>
  <si>
    <t xml:space="preserve">Исправка вредности пословног простора и других објеката                                                                </t>
  </si>
  <si>
    <t xml:space="preserve">Саобраћајни објекти                                                                     </t>
  </si>
  <si>
    <t xml:space="preserve">Аутопутеви, мостови, надвожњаци и тунели                                                                  </t>
  </si>
  <si>
    <t xml:space="preserve">Пруге                                                                      </t>
  </si>
  <si>
    <t xml:space="preserve">Аеродромске писте                                                                     </t>
  </si>
  <si>
    <t xml:space="preserve">Остали саобраћајни објекти                                                                    </t>
  </si>
  <si>
    <t xml:space="preserve">Лизинг саобраћајних објеката                                                                    </t>
  </si>
  <si>
    <t xml:space="preserve">Добити које су резултат промене вредности саобраћајних објеката                                                               </t>
  </si>
  <si>
    <t xml:space="preserve">Друге промене у обиму саобраћајних објеката                                                                 </t>
  </si>
  <si>
    <t xml:space="preserve">Исправка вредности саобраћајних објеката                                                                   </t>
  </si>
  <si>
    <t xml:space="preserve">Водоводна инфраструктура                                                                     </t>
  </si>
  <si>
    <t xml:space="preserve">Водовод                                                                      </t>
  </si>
  <si>
    <t xml:space="preserve">Канализација                                                                      </t>
  </si>
  <si>
    <t xml:space="preserve">Луке                                                                      </t>
  </si>
  <si>
    <t xml:space="preserve">Бране                                                                      </t>
  </si>
  <si>
    <t xml:space="preserve">Остали облици водоводне инфраструктуре                                                                   </t>
  </si>
  <si>
    <t xml:space="preserve">Лизинг водоводне инфраструктуре                                                                    </t>
  </si>
  <si>
    <t xml:space="preserve">Добити које су резултат промене вредности водоводне инфраструктуре                                                               </t>
  </si>
  <si>
    <t xml:space="preserve">Друге промене у обиму водоводне инфраструктуре                                                                 </t>
  </si>
  <si>
    <t xml:space="preserve">Исправка вредности водоводне инфраструктуре                                                                   </t>
  </si>
  <si>
    <t xml:space="preserve">Остали објекти                                                                     </t>
  </si>
  <si>
    <t xml:space="preserve">Плиноводи                                                                      </t>
  </si>
  <si>
    <t xml:space="preserve">Комуникациони и електрични водови                                                                   </t>
  </si>
  <si>
    <t xml:space="preserve">Спортски и рекреациони објекти                                                                   </t>
  </si>
  <si>
    <t xml:space="preserve">Установе културе                                                                     </t>
  </si>
  <si>
    <t xml:space="preserve">Затвори                                                                      </t>
  </si>
  <si>
    <t xml:space="preserve">Лизинг осталих објеката                                                                    </t>
  </si>
  <si>
    <t xml:space="preserve">Добити које су резултат промене вредности осталих објеката                                                               </t>
  </si>
  <si>
    <t xml:space="preserve">Друге промене у обиму осталих објеката                                                                 </t>
  </si>
  <si>
    <t xml:space="preserve">Исправка вредности осталих објеката                                                                   </t>
  </si>
  <si>
    <t xml:space="preserve">Опрема                                                                      </t>
  </si>
  <si>
    <t xml:space="preserve">Опрема за саобраћај                                                                    </t>
  </si>
  <si>
    <t xml:space="preserve">Опрема за копнени саобраћај                                                                   </t>
  </si>
  <si>
    <t xml:space="preserve">Пловни објекти                                                                     </t>
  </si>
  <si>
    <t xml:space="preserve">Опрема за ваздушни саобраћај                                                                   </t>
  </si>
  <si>
    <t xml:space="preserve">Остала опрема за саобраћај                                                                   </t>
  </si>
  <si>
    <t xml:space="preserve">Лизинг опреме за саобраћај                                                                   </t>
  </si>
  <si>
    <t xml:space="preserve">Добити које су резултат промене вредности саобраћајне опреме                                                               </t>
  </si>
  <si>
    <t xml:space="preserve">Друге промене у обиму саобраћајне опреме                                                                 </t>
  </si>
  <si>
    <t xml:space="preserve">Исправка вредности саобраћајне опреме                                                                   </t>
  </si>
  <si>
    <t xml:space="preserve">Административна опрема                                                                     </t>
  </si>
  <si>
    <t xml:space="preserve">Канцеларијска опрема                                                                     </t>
  </si>
  <si>
    <t xml:space="preserve">Рачунарска опрема                                                                     </t>
  </si>
  <si>
    <t xml:space="preserve">Комуникациона опрема                                                                     </t>
  </si>
  <si>
    <t xml:space="preserve">Електронска и фотографска опрема                                                                   </t>
  </si>
  <si>
    <t xml:space="preserve">Опрема за домаћинство и угоститељство                                                                  </t>
  </si>
  <si>
    <t xml:space="preserve">Лизинг административне опреме                                                                    </t>
  </si>
  <si>
    <t xml:space="preserve">Добити које су резултат промене вредности административне опреме                                                               </t>
  </si>
  <si>
    <t xml:space="preserve">Друге промене у обиму административне опреме                                                                 </t>
  </si>
  <si>
    <t xml:space="preserve">Исправка вредности административне опреме                                                                   </t>
  </si>
  <si>
    <t xml:space="preserve">Опрема за пољопривреду                                                                    </t>
  </si>
  <si>
    <t xml:space="preserve">Лизинг опреме за пољопривреду                                                                   </t>
  </si>
  <si>
    <t xml:space="preserve">Добити које су резултат промене вредности пољопривредне опреме                                                               </t>
  </si>
  <si>
    <t xml:space="preserve">Друге промене у обиму пољопривредне опреме                                                                 </t>
  </si>
  <si>
    <t xml:space="preserve">Исправка  вредности пољопривредне опреме                                                                  </t>
  </si>
  <si>
    <t xml:space="preserve">Опрема за заштиту животне средине                                                                  </t>
  </si>
  <si>
    <t xml:space="preserve">Лизинг опреме за заштиту животне средине                                                                 </t>
  </si>
  <si>
    <t xml:space="preserve">Добити које су резултат промене вредности опреме за заштиту животне средине                                                            </t>
  </si>
  <si>
    <t xml:space="preserve">Друге промене у обиму опреме за заштиту животне средине                                                              </t>
  </si>
  <si>
    <t xml:space="preserve">Исправка вредности опреме за заштиту животне околине                                                                </t>
  </si>
  <si>
    <t xml:space="preserve">Медицинска и лабораторијска опрема                                                                   </t>
  </si>
  <si>
    <t xml:space="preserve">Медицинска опрема                                                                     </t>
  </si>
  <si>
    <t xml:space="preserve">Лабораторијска опрема                                                                     </t>
  </si>
  <si>
    <t xml:space="preserve">Мерни и контролни инструменти                                                                   </t>
  </si>
  <si>
    <t xml:space="preserve">Остала медицинска и лабораторијска опрема                                                                  </t>
  </si>
  <si>
    <t xml:space="preserve">Лизинг медицинске и лабораторијске опреме                                                                  </t>
  </si>
  <si>
    <t xml:space="preserve">Добити које су резултат промене вредности медицинске и лабораторијске опреме                                                             </t>
  </si>
  <si>
    <t xml:space="preserve">Друге промене у обиму медицинске и лабораторијске опреме                                                               </t>
  </si>
  <si>
    <t xml:space="preserve">Исправка вредности медицинске и лабораторијске опреме                                                                 </t>
  </si>
  <si>
    <t xml:space="preserve">Опрема за образовање, науку, културу и спорт                                                                </t>
  </si>
  <si>
    <t xml:space="preserve">Опрема за образовање                                                                    </t>
  </si>
  <si>
    <t xml:space="preserve">Опрема за науку                                                                    </t>
  </si>
  <si>
    <t xml:space="preserve">Опрема за културу                                                                    </t>
  </si>
  <si>
    <t xml:space="preserve">Опрема за спорт                                                                    </t>
  </si>
  <si>
    <t xml:space="preserve">Лизинг опреме за образовање, науку, културу и спорт                                                               </t>
  </si>
  <si>
    <t xml:space="preserve">Добити које су резултат промене вредности опреме за образовање, науку, културу и спорт                                                          </t>
  </si>
  <si>
    <t xml:space="preserve">Друге промене у обиму опреме за образовање, науку, културу и спорт                                                            </t>
  </si>
  <si>
    <t xml:space="preserve">Исправка вредности опреме за образовање, науку, културу и спорт                                                              </t>
  </si>
  <si>
    <t xml:space="preserve">Опрема за војску                                                                    </t>
  </si>
  <si>
    <t xml:space="preserve">Лизинг опреме за војску                                                                   </t>
  </si>
  <si>
    <t xml:space="preserve">Добити које су резултат промене вредности опреме за војску                                                              </t>
  </si>
  <si>
    <t xml:space="preserve">Друге промене у обиму опреме за војску                                                                </t>
  </si>
  <si>
    <t xml:space="preserve">Исправка вредности опреме за војску                                                                  </t>
  </si>
  <si>
    <t xml:space="preserve">Опрема за јавну безбедност                                                                   </t>
  </si>
  <si>
    <t xml:space="preserve">Лизинг опреме за јавну безбедност                                                                  </t>
  </si>
  <si>
    <t xml:space="preserve">Добити које су резултат промене вредности опреме за јавну безбедност                                                             </t>
  </si>
  <si>
    <t xml:space="preserve">Друге промене у обиму опреме зa јавну безбедност                                                               </t>
  </si>
  <si>
    <t xml:space="preserve">Исправка вредности опреме за јавну безбедност                                                                 </t>
  </si>
  <si>
    <t xml:space="preserve">Опрема за производњу, моторна, непокретна и немоторна опрема                                                               </t>
  </si>
  <si>
    <t xml:space="preserve">Производна опрема                                                                     </t>
  </si>
  <si>
    <t xml:space="preserve">Моторна опрема                                                                     </t>
  </si>
  <si>
    <t xml:space="preserve">Непокретна опрема                                                                     </t>
  </si>
  <si>
    <t xml:space="preserve">Немоторна опрема                                                                     </t>
  </si>
  <si>
    <t xml:space="preserve">Лизинг опреме за производњу, моторну, непокретну и немоторну опрему                                                              </t>
  </si>
  <si>
    <t xml:space="preserve">Добити које су резултат промене вредности опреме за производњу, моторне, непокретне и немоторне опреме                                                         </t>
  </si>
  <si>
    <t xml:space="preserve">Друге промене у обиму опреме за производњу, моторне, непокретне и немоторне опреме                                                           </t>
  </si>
  <si>
    <t xml:space="preserve">Исправка вредности опреме за производњу, моторне, непокретне и немоторне опреме                                                             </t>
  </si>
  <si>
    <t xml:space="preserve">Остале некретнине и опрема                                                                   </t>
  </si>
  <si>
    <t xml:space="preserve">Лизинг-Остале некретнине и опрема                                                                   </t>
  </si>
  <si>
    <t xml:space="preserve">Добити које су резултат промене вредности-остале некретнине и опрема                                                              </t>
  </si>
  <si>
    <t xml:space="preserve">Друге промене у обиму-остале некретнине и опрема                                                                </t>
  </si>
  <si>
    <t xml:space="preserve">Исправка вредности-остале некретнине и опрема                                                                  </t>
  </si>
  <si>
    <t xml:space="preserve">Култивисана имовина                                                                     </t>
  </si>
  <si>
    <t xml:space="preserve">Основно стадо                                                                     </t>
  </si>
  <si>
    <t xml:space="preserve">Вишегодишњи засади                                                                     </t>
  </si>
  <si>
    <t xml:space="preserve">Добити које су резултат промене вредности култивисане имовине                                                               </t>
  </si>
  <si>
    <t xml:space="preserve">Друге промене у обиму култивисане имовине                                                                 </t>
  </si>
  <si>
    <t xml:space="preserve">Исправка вредности култивисане имовине                                                                   </t>
  </si>
  <si>
    <t xml:space="preserve">Драгоцености                                                                      </t>
  </si>
  <si>
    <t xml:space="preserve">Злато                                                                      </t>
  </si>
  <si>
    <t xml:space="preserve">Сребро                                                                      </t>
  </si>
  <si>
    <t xml:space="preserve">Накит од племенитих метала                                                                   </t>
  </si>
  <si>
    <t xml:space="preserve">Антика и други предмети                                                                   </t>
  </si>
  <si>
    <t xml:space="preserve">Остале драгоцености                                                                     </t>
  </si>
  <si>
    <t xml:space="preserve">Добити које су резултат промене вредности драгоцености                                                                </t>
  </si>
  <si>
    <t xml:space="preserve">Друге промене у обиму драгоцености                                                                  </t>
  </si>
  <si>
    <t xml:space="preserve">Исправка вредности драгоцености                                                                    </t>
  </si>
  <si>
    <t xml:space="preserve">Природна имовина                                                                     </t>
  </si>
  <si>
    <t xml:space="preserve">Земљиште                                                                      </t>
  </si>
  <si>
    <t xml:space="preserve">Пољопривредно земљиште                                                                     </t>
  </si>
  <si>
    <t xml:space="preserve">Грађевинско земљиште                                                                     </t>
  </si>
  <si>
    <t xml:space="preserve">Земља која је испод зграда и објеката                                                                </t>
  </si>
  <si>
    <t xml:space="preserve">Спортски терени и придружена водена површина                                                                 </t>
  </si>
  <si>
    <t xml:space="preserve">Остало земљиште и придружена водена површина                                                                 </t>
  </si>
  <si>
    <t xml:space="preserve">Добити које су резултат промене вредности земљишта                                                                </t>
  </si>
  <si>
    <t xml:space="preserve">Друге промене у обиму земљишта                                                                  </t>
  </si>
  <si>
    <t xml:space="preserve">Исправка вредности земљишта                                                                    </t>
  </si>
  <si>
    <t xml:space="preserve">Подземна блага                                                                     </t>
  </si>
  <si>
    <t xml:space="preserve">Копови                                                                      </t>
  </si>
  <si>
    <t xml:space="preserve">Угаљ, нафта и природни гас                                                                  </t>
  </si>
  <si>
    <t xml:space="preserve">Минералне резерве метала                                                                    </t>
  </si>
  <si>
    <t xml:space="preserve">Добити које су резултат промене вредности подземних блага                                                               </t>
  </si>
  <si>
    <t xml:space="preserve">Друге промене у обиму подземних блага                                                                 </t>
  </si>
  <si>
    <t xml:space="preserve">Исправка вредности подземних блага                                                                   </t>
  </si>
  <si>
    <t xml:space="preserve">Шуме и воде                                                                    </t>
  </si>
  <si>
    <t xml:space="preserve">Шуме                                                                      </t>
  </si>
  <si>
    <t xml:space="preserve">Добити које су резултат промене вредности шума                                                                </t>
  </si>
  <si>
    <t xml:space="preserve">Друге промене у обиму шума                                                                  </t>
  </si>
  <si>
    <t xml:space="preserve">Трошење вредности шума                                                                    </t>
  </si>
  <si>
    <t xml:space="preserve">Воде                                                                      </t>
  </si>
  <si>
    <t xml:space="preserve">Добити које су резултат промене вредности воде                                                                </t>
  </si>
  <si>
    <t xml:space="preserve">Друге промене у обиму воде                                                                  </t>
  </si>
  <si>
    <t xml:space="preserve">Исправка вредности воде                                                                    </t>
  </si>
  <si>
    <t xml:space="preserve">Нефинансијска имовина у припреми и аванси                                                                 </t>
  </si>
  <si>
    <t xml:space="preserve">Нефинансијска имовина у припреми                                                                   </t>
  </si>
  <si>
    <t xml:space="preserve">Грађевински објекти у припреми                                                                   </t>
  </si>
  <si>
    <t xml:space="preserve">Стамбени грађевински објекти у припреми                                                                  </t>
  </si>
  <si>
    <t xml:space="preserve">Пословне зграде и други грађевински објекти у припреми                                                               </t>
  </si>
  <si>
    <t xml:space="preserve">Саобраћајни објекти у припреми                                                                   </t>
  </si>
  <si>
    <t xml:space="preserve">Водоводна инфраструктура у припреми                                                                   </t>
  </si>
  <si>
    <t xml:space="preserve">Други објекти у припреми                                                                   </t>
  </si>
  <si>
    <t xml:space="preserve">Опрема у припреми                                                                    </t>
  </si>
  <si>
    <t xml:space="preserve">Саобраћајна опрема у припреми                                                                   </t>
  </si>
  <si>
    <t xml:space="preserve">Административна опрема у припреми                                                                   </t>
  </si>
  <si>
    <t xml:space="preserve">Пољопривредна опрема у припреми                                                                   </t>
  </si>
  <si>
    <t xml:space="preserve">Опрема за заштиту животне средине у припреми                                                                </t>
  </si>
  <si>
    <t xml:space="preserve">Медицинска и лабораторијска опрема у припреми                                                                 </t>
  </si>
  <si>
    <t xml:space="preserve">Опрема за образовање, науку, културу и спорт у припреми                                                              </t>
  </si>
  <si>
    <t xml:space="preserve">Опрема за војску у припреми                                                                  </t>
  </si>
  <si>
    <t xml:space="preserve">Опрема за јавну безбедност у припреми                                                                 </t>
  </si>
  <si>
    <t xml:space="preserve">Опрема за производњу, моторна, непокретна и немоторна опрема у припреми                                                             </t>
  </si>
  <si>
    <t xml:space="preserve">Остале некретнине и опрема у припреми                                                                 </t>
  </si>
  <si>
    <t xml:space="preserve">Култивисана имовина у припреми                                                                   </t>
  </si>
  <si>
    <t xml:space="preserve">Драгоцености у припреми                                                                    </t>
  </si>
  <si>
    <t xml:space="preserve">Земљиште у припреми                                                                    </t>
  </si>
  <si>
    <t xml:space="preserve">Подземна блага у припреми                                                                   </t>
  </si>
  <si>
    <t xml:space="preserve">Шуме и воде у припреми                                                                  </t>
  </si>
  <si>
    <t xml:space="preserve">Шуме у припреми                                                                    </t>
  </si>
  <si>
    <t xml:space="preserve">Вода у припреми                                                                    </t>
  </si>
  <si>
    <t xml:space="preserve">Аванси за нефинансијску имовину                                                                   </t>
  </si>
  <si>
    <t xml:space="preserve">Аванси за грађевинске објекте                                                                   </t>
  </si>
  <si>
    <t xml:space="preserve">Аванси за стамбене објекте                                                                   </t>
  </si>
  <si>
    <t xml:space="preserve">Аванси за пословне зграде и друге објекте                                                                </t>
  </si>
  <si>
    <t xml:space="preserve">Аванси за саобраћајне објекте                                                                   </t>
  </si>
  <si>
    <t xml:space="preserve">Аванси за водоводну инфраструктуру                                                                   </t>
  </si>
  <si>
    <t xml:space="preserve">Аванси за друге објекте                                                                   </t>
  </si>
  <si>
    <t xml:space="preserve">Аванси за опрему                                                                    </t>
  </si>
  <si>
    <t xml:space="preserve">Аванси за саобраћајну опрему                                                                   </t>
  </si>
  <si>
    <t xml:space="preserve">Аванси за административну опрему                                                                   </t>
  </si>
  <si>
    <t xml:space="preserve">Аванси за пољопривредну опрему                                                                   </t>
  </si>
  <si>
    <t xml:space="preserve">Аванси за опрему за заштиту животне средине                                                                </t>
  </si>
  <si>
    <t xml:space="preserve">Аванси за медицинску и лабораторијску опрему                                                                 </t>
  </si>
  <si>
    <t xml:space="preserve">Аванси за опрему за образовање, науку, културу и спорт                                                              </t>
  </si>
  <si>
    <t xml:space="preserve">Аванси за опрему за војску                                                                  </t>
  </si>
  <si>
    <t xml:space="preserve">Аванси за опрему за јавну безбедност                                                                 </t>
  </si>
  <si>
    <t xml:space="preserve">Аванси за опрему за производњу, моторну, непокретну и немоторну опрему                                                             </t>
  </si>
  <si>
    <t xml:space="preserve">Аванси за остале некретнине и опрему                                                                 </t>
  </si>
  <si>
    <t xml:space="preserve">Аванси за култивисану имовину                                                                   </t>
  </si>
  <si>
    <t xml:space="preserve">Аванси за драгоцености                                                                    </t>
  </si>
  <si>
    <t xml:space="preserve">Аванси за земљиште                                                                    </t>
  </si>
  <si>
    <t xml:space="preserve">Аванси за подземна блага                                                                   </t>
  </si>
  <si>
    <t xml:space="preserve">Аванси за шуме и воде                                                                  </t>
  </si>
  <si>
    <t xml:space="preserve">Аванси за шуме                                                                    </t>
  </si>
  <si>
    <t xml:space="preserve">Аванси за воде                                                                    </t>
  </si>
  <si>
    <t xml:space="preserve">Нематеријална имовина                                                                     </t>
  </si>
  <si>
    <t xml:space="preserve">Компјутерски софтвер                                                                     </t>
  </si>
  <si>
    <t xml:space="preserve">Добити које су резултат промене компјутерског софтвера                                                                </t>
  </si>
  <si>
    <t xml:space="preserve">Друге промене у обиму компјутерског софтвера                                                                 </t>
  </si>
  <si>
    <t xml:space="preserve">Исправка вредности нематеријалних улагања у компјутерски софтвер                                                                </t>
  </si>
  <si>
    <t xml:space="preserve">Књижевна и уметничка дела                                                                   </t>
  </si>
  <si>
    <t xml:space="preserve">Добити које су резултат промене књижевних и уметничких дела                                                              </t>
  </si>
  <si>
    <t xml:space="preserve">Друге промене у обиму нематеријалних књижевних и уметничких дела                                                              </t>
  </si>
  <si>
    <t xml:space="preserve">Исправка вредности нематеријалних улагања у књижевна и уметничка дела                                                              </t>
  </si>
  <si>
    <t xml:space="preserve">Патенти                                                                      </t>
  </si>
  <si>
    <t xml:space="preserve">Добити које су резултат промене патената                                                                 </t>
  </si>
  <si>
    <t xml:space="preserve">Друге промене у обиму нематеријалних патената                                                                 </t>
  </si>
  <si>
    <t xml:space="preserve">Исправка вредности нематеријалних улагања у патенте                                                                 </t>
  </si>
  <si>
    <t xml:space="preserve">Goodwill                                                                      </t>
  </si>
  <si>
    <t xml:space="preserve">Добити које су резултат промене goodwill-а                                                                 </t>
  </si>
  <si>
    <t xml:space="preserve">Друге промене у обиму goodwill-а                                                                  </t>
  </si>
  <si>
    <t xml:space="preserve">Исправка вредности нематеријалних улагања у goodwill                                                                 </t>
  </si>
  <si>
    <t xml:space="preserve">Трошкови за развој                                                                    </t>
  </si>
  <si>
    <t xml:space="preserve">Добити које су резултат промене нематеријалних основних средстава                                                               </t>
  </si>
  <si>
    <t xml:space="preserve">Друге промене у обиму нематеријалних основних средстава                                                                </t>
  </si>
  <si>
    <t xml:space="preserve">Исправка вредности нематеријалних улагања у основна средства                                                                </t>
  </si>
  <si>
    <t xml:space="preserve">Остала нематеријална основна средства                                                                   </t>
  </si>
  <si>
    <t xml:space="preserve">Добити које су резултат промене осталих нематеријалних основних средстава                                                              </t>
  </si>
  <si>
    <t xml:space="preserve">Друге промене у обиму осталих нематеријалних основних средстава                                                               </t>
  </si>
  <si>
    <t xml:space="preserve">Исправка вредности нематеријалних улагања у остала нематеријална основна средстава                                                              </t>
  </si>
  <si>
    <t xml:space="preserve">Остала нематеријална имовина                                                                    </t>
  </si>
  <si>
    <t xml:space="preserve">Добити које су резултат промене остале нематеријалне имовине                                                               </t>
  </si>
  <si>
    <t xml:space="preserve">Друге промене у обиму остале нематеријалне имовине                                                                </t>
  </si>
  <si>
    <t xml:space="preserve">Исправка вредности  нематеријалних улагања у осталу нематеријалну имовину                                                              </t>
  </si>
  <si>
    <t xml:space="preserve">Нематеријална имовина у припреми                                                                   </t>
  </si>
  <si>
    <t xml:space="preserve">Аванси за нематеријалну имовину                                                                   </t>
  </si>
  <si>
    <t xml:space="preserve">Нефинансијска имовина у залихама                                                                   </t>
  </si>
  <si>
    <t xml:space="preserve">Залихе                                                                      </t>
  </si>
  <si>
    <t xml:space="preserve">Робне резерве                                                                     </t>
  </si>
  <si>
    <t xml:space="preserve">Добити које су резултат промене вредности робних резерви                                                               </t>
  </si>
  <si>
    <t xml:space="preserve">Друге промене у обиму робних резерви                                                                 </t>
  </si>
  <si>
    <t xml:space="preserve">Исправка вредности робних резерви                                                                   </t>
  </si>
  <si>
    <t xml:space="preserve">Залихе производње                                                                     </t>
  </si>
  <si>
    <t xml:space="preserve">Материјали                                                                      </t>
  </si>
  <si>
    <t xml:space="preserve">Недовршена производња                                                                     </t>
  </si>
  <si>
    <t xml:space="preserve">Готови производи                                                                     </t>
  </si>
  <si>
    <t xml:space="preserve">Роба за даљу продају                                                                   </t>
  </si>
  <si>
    <t xml:space="preserve">Роба за даљу продају у промету на велико                                                               </t>
  </si>
  <si>
    <t xml:space="preserve">Робa за даљу продају у промету на мало                                                               </t>
  </si>
  <si>
    <t xml:space="preserve">Укалкулисана разлика у цени робе за даљу продају                                                               </t>
  </si>
  <si>
    <t xml:space="preserve">Укалкулисани порез робе за даљу продају                                                                 </t>
  </si>
  <si>
    <t xml:space="preserve">Исправка вредности робе за даљу продају                                                                 </t>
  </si>
  <si>
    <t xml:space="preserve">Залихе ситног инвентара и потрошног материјала                                                                 </t>
  </si>
  <si>
    <t xml:space="preserve">Залихе ситног инвентара                                                                    </t>
  </si>
  <si>
    <t xml:space="preserve">Ситан инвентар у употреби                                                                   </t>
  </si>
  <si>
    <t xml:space="preserve">Исправка вредности ситног инвентара                                                                   </t>
  </si>
  <si>
    <t xml:space="preserve">Залихе потрошног материјала                                                                    </t>
  </si>
  <si>
    <t xml:space="preserve">Залихе материјала за сталне трошкове                                                                  </t>
  </si>
  <si>
    <t xml:space="preserve">Залихе материјала за грејање                                                                   </t>
  </si>
  <si>
    <t xml:space="preserve">Залихе материјала за поправке и одржавање                                                                 </t>
  </si>
  <si>
    <t xml:space="preserve">Залихе материјала за поправке зграда                                                                  </t>
  </si>
  <si>
    <t xml:space="preserve">Залихе материјала за поправке опреме                                                                  </t>
  </si>
  <si>
    <t xml:space="preserve">Залихе материјала у делатности                                                                   </t>
  </si>
  <si>
    <t xml:space="preserve">Залихе административног материјала                                                                    </t>
  </si>
  <si>
    <t xml:space="preserve">Залихе материјала за пољопривреду                                                                   </t>
  </si>
  <si>
    <t xml:space="preserve">Залихе материјала за образовање запослених                                                                  </t>
  </si>
  <si>
    <t xml:space="preserve">Залихе материјала за саобраћај                                                                   </t>
  </si>
  <si>
    <t xml:space="preserve">Залихе материјала за очување животне средине                                                                 </t>
  </si>
  <si>
    <t xml:space="preserve">Залихе материјала за образовање, науку, културу и спорт                                                               </t>
  </si>
  <si>
    <t xml:space="preserve">Залихе медицинског и лабораторијског материјала                                                                  </t>
  </si>
  <si>
    <t xml:space="preserve">Залихе материјала за домаћинство и угоститељство                                                                 </t>
  </si>
  <si>
    <t xml:space="preserve">Залихе материјала за посебне намене                                                                  </t>
  </si>
  <si>
    <t xml:space="preserve">Исправка вредности залиха потрошног материјала                                                                  </t>
  </si>
  <si>
    <t xml:space="preserve">Исправка вредности залиха материјала за сталне трошкове                                                                </t>
  </si>
  <si>
    <t xml:space="preserve">Исправка вредности залиха материјала за поправке и одржавање                                                               </t>
  </si>
  <si>
    <t xml:space="preserve">Исправка вредности залиха материјала делатности                                                                  </t>
  </si>
  <si>
    <t xml:space="preserve">Финансијска имовина                                                                     </t>
  </si>
  <si>
    <t xml:space="preserve">Дугорочна финансијска имовина                                                                    </t>
  </si>
  <si>
    <t xml:space="preserve">Дугорочна домаћа финансијска имовина                                                                   </t>
  </si>
  <si>
    <t xml:space="preserve">Дугорочне домаће хартије од вредности, изузев акција                                                                </t>
  </si>
  <si>
    <t xml:space="preserve">Набавка домаћих дугорочних хартија од вредности, изузев акција                                                               </t>
  </si>
  <si>
    <t xml:space="preserve">Исправка вредности дугорочних домаћих хартија од вредности, изузев акција                                                              </t>
  </si>
  <si>
    <t xml:space="preserve">Кредити осталим нивоима власти                                                                   </t>
  </si>
  <si>
    <t xml:space="preserve">Кредити нивоу републике                                                                    </t>
  </si>
  <si>
    <t xml:space="preserve">Кредити нивоу територијалних аутономија                                                                   </t>
  </si>
  <si>
    <t xml:space="preserve">Кредити нивоу градова                                                                    </t>
  </si>
  <si>
    <t xml:space="preserve">Кредити нивоу општина                                                                    </t>
  </si>
  <si>
    <t xml:space="preserve">Кредити организацијама обавезног социјалног осигурања                                                                  </t>
  </si>
  <si>
    <t xml:space="preserve">Кредити републичком фонду за здравствено осигурање                                                                 </t>
  </si>
  <si>
    <t xml:space="preserve">Кредити републичком фонду за пио                                                                  </t>
  </si>
  <si>
    <t xml:space="preserve">Кредити националној служби за запошљавање                                                                  </t>
  </si>
  <si>
    <t xml:space="preserve">Исправка вредности кредита осталим нивоима власти                                                                 </t>
  </si>
  <si>
    <t xml:space="preserve">Исправка вредности кредита нивоу републике                                                                  </t>
  </si>
  <si>
    <t xml:space="preserve">Исправка вредности кредита нивоу територијалних аутономија                                                                 </t>
  </si>
  <si>
    <t xml:space="preserve">Исправка вредности кредита нивоу градова                                                                  </t>
  </si>
  <si>
    <t xml:space="preserve">Исправка вредности кредита нивоу општина                                                                  </t>
  </si>
  <si>
    <t xml:space="preserve">Исправка вредности кредита организацијама обавезног социјалног осигурања                                                                </t>
  </si>
  <si>
    <t xml:space="preserve">Кредити домаћим јавним финансијским институцијама                                                                  </t>
  </si>
  <si>
    <t xml:space="preserve">Кредити народној банци србије                                                                   </t>
  </si>
  <si>
    <t xml:space="preserve">Кредити осталим домаћим јавним финансијским институцијама                                                                 </t>
  </si>
  <si>
    <t xml:space="preserve">Исправка вредности кредита домаћим јавним финансијским институцијама                                                                </t>
  </si>
  <si>
    <t xml:space="preserve">Исправка вредности кредита народној банци србије                                                                 </t>
  </si>
  <si>
    <t xml:space="preserve">Исправка вредности кредита осталим домаћим јавним финансијским институцијама                                                               </t>
  </si>
  <si>
    <t xml:space="preserve">Кредити домаћим  пословним банкама                                                                  </t>
  </si>
  <si>
    <t xml:space="preserve">Кредити домаћим пословним банкама                                                                   </t>
  </si>
  <si>
    <t xml:space="preserve">Исправка вредности кредита домаћим пословним банкама                                                                 </t>
  </si>
  <si>
    <t xml:space="preserve">Кредити домаћим јавним нефинансијским институцијама                                                                  </t>
  </si>
  <si>
    <t xml:space="preserve">Исправка вредности кредита домаћим јавним нефинансијским институцијама                                                                </t>
  </si>
  <si>
    <t xml:space="preserve">Кредити физичким лицима и домаћинствима у земљи                                                                </t>
  </si>
  <si>
    <t xml:space="preserve">Кредити физичким лицима у земљи за потребе становања                                                               </t>
  </si>
  <si>
    <t xml:space="preserve">Кредити физичким лицима у земљи за комерцијалне потребе                                                               </t>
  </si>
  <si>
    <t xml:space="preserve">Кредити студентима и ученицима у земљи                                                                 </t>
  </si>
  <si>
    <t xml:space="preserve">Исправка вредности кредита физичким лицима и домаћинствима у земљи                                                              </t>
  </si>
  <si>
    <t xml:space="preserve">Кредити домаћим невладиним организацијама                                                                   </t>
  </si>
  <si>
    <t xml:space="preserve">Кредити удружењима грађана у земљи                                                                  </t>
  </si>
  <si>
    <t xml:space="preserve">Кредити непрофитним организацијама у земљи                                                                  </t>
  </si>
  <si>
    <t xml:space="preserve">Исправка вредности кредита домаћим невладиним организацијама                                                                 </t>
  </si>
  <si>
    <t xml:space="preserve">Кредити домаћим нефинансијским приватним предузећима                                                                  </t>
  </si>
  <si>
    <t xml:space="preserve">Исправка вредности кредита домаћим нефинансијским приватним предузећима                                                                </t>
  </si>
  <si>
    <t xml:space="preserve">Домаће акције и остали капитал                                                                  </t>
  </si>
  <si>
    <t xml:space="preserve">Учешће капитала у домаћим јавним нефинансијским предузећима и институцијама                                                              </t>
  </si>
  <si>
    <t xml:space="preserve">Учешће капитала у домаћим јавним финансијским институцијама                                                                </t>
  </si>
  <si>
    <t xml:space="preserve">Учешће капитала у народној банци србије                                                                 </t>
  </si>
  <si>
    <t xml:space="preserve">Учешће капитала у осталим домаћим финансијским институцијама                                                                </t>
  </si>
  <si>
    <t xml:space="preserve">Учешће капитала у домаћим нефинансијским приватним предузећима                                                                </t>
  </si>
  <si>
    <t xml:space="preserve">Учешће капитала у домаћим пословним банкама                                                                 </t>
  </si>
  <si>
    <t xml:space="preserve">Исправка вредности домаћих акција и осталог капитала                                                                </t>
  </si>
  <si>
    <t xml:space="preserve">Исправка вредности учешћa капитала у домаћим јавним нефинансијским предузећима и институцијама                                                            </t>
  </si>
  <si>
    <t xml:space="preserve">Исправка вредности учешћа капитала у домаћим јавним финансијским институцијама                                                              </t>
  </si>
  <si>
    <t xml:space="preserve">Исправка вредности учешћа капитала у домаћим приватним нефинансијским предузећима                                                              </t>
  </si>
  <si>
    <t xml:space="preserve">Исправка вредности учешћа капитала у домаћим пословним банкама                                                               </t>
  </si>
  <si>
    <t xml:space="preserve">Дугорочна страна финансијска имовина                                                                   </t>
  </si>
  <si>
    <t xml:space="preserve">Дугорочне стране хартије од вредности, изузев акција                                                                </t>
  </si>
  <si>
    <t xml:space="preserve">Исправка вредности дугорочних страних хартија од вредности, изузев акција                                                              </t>
  </si>
  <si>
    <t xml:space="preserve">Кредити страним владама                                                                    </t>
  </si>
  <si>
    <t xml:space="preserve">Исправка вредности кредита датих страним владама                                                                 </t>
  </si>
  <si>
    <t xml:space="preserve">Кредити међународним организацијама                                                                    </t>
  </si>
  <si>
    <t xml:space="preserve">Исправка вредности кредита међународним организацијама                                                                  </t>
  </si>
  <si>
    <t xml:space="preserve">Кредити страним пословним банкама                                                                   </t>
  </si>
  <si>
    <t xml:space="preserve">Исправка вредности кредита страним пословним банкама                                                                 </t>
  </si>
  <si>
    <t xml:space="preserve">Кредити страним нефинансијским институцијама                                                                   </t>
  </si>
  <si>
    <t xml:space="preserve">Исправка вредности кредита страним нефинансијским институцијама                                                                 </t>
  </si>
  <si>
    <t xml:space="preserve">Кредити страним невладиним организацијама                                                                   </t>
  </si>
  <si>
    <t xml:space="preserve">Кредити страним удружењима грађана                                                                   </t>
  </si>
  <si>
    <t xml:space="preserve">Кредити страним непрофитним институцијама                                                                   </t>
  </si>
  <si>
    <t xml:space="preserve">Исправка вредности кредита страним невладиним организацијама                                                                 </t>
  </si>
  <si>
    <t xml:space="preserve">Стране акције и остали капитал                                                                  </t>
  </si>
  <si>
    <t xml:space="preserve">Учешће капитала у међународним финансијским институцијама                                                                 </t>
  </si>
  <si>
    <t xml:space="preserve">Учешће капитала у страним компанијама и нефинансијским институцијама                                                               </t>
  </si>
  <si>
    <t xml:space="preserve">Исправка вредности страних акција и осталог капитала                                                                </t>
  </si>
  <si>
    <t xml:space="preserve">Исправка вредности учешћa капитала у међународним финансијским институцијама                                                               </t>
  </si>
  <si>
    <t xml:space="preserve">Исправка вредности учешћа капитала у страним компанијама и нефинансијским институцијама                                                             </t>
  </si>
  <si>
    <t xml:space="preserve">Страни финансијски деривати                                                                    </t>
  </si>
  <si>
    <t xml:space="preserve">Новчана средства, племенити метали, хартије од вредности, потраживања и краткорочни пласмани                                                            </t>
  </si>
  <si>
    <t xml:space="preserve">Новчана средства, племенити метали, хартије од вредности                                                                </t>
  </si>
  <si>
    <t xml:space="preserve">Жиро и текући рачуни                                                                   </t>
  </si>
  <si>
    <t xml:space="preserve">Жиро рачуни                                                                     </t>
  </si>
  <si>
    <t xml:space="preserve">Текући рачуни                                                                     </t>
  </si>
  <si>
    <t xml:space="preserve">Прелазни рачун                                                                     </t>
  </si>
  <si>
    <t xml:space="preserve">Издвојена новчана средства и акредитиви                                                                  </t>
  </si>
  <si>
    <t xml:space="preserve">Издвојена новчана средства за инвестиције                                                                  </t>
  </si>
  <si>
    <t xml:space="preserve">Издвојена новчана средства за исплату чекова                                                                 </t>
  </si>
  <si>
    <t xml:space="preserve">Издвојена новчана средства за плаћање царина и осталих дажбина                                                              </t>
  </si>
  <si>
    <t xml:space="preserve">Издвојена средства за сталне резерве                                                                  </t>
  </si>
  <si>
    <t xml:space="preserve">Издвојена средства за посебне намене                                                                  </t>
  </si>
  <si>
    <t xml:space="preserve">Издвојена средства за стамбену изградњу                                                                  </t>
  </si>
  <si>
    <t xml:space="preserve">Неопозиви документарни акредитиви                                                                    </t>
  </si>
  <si>
    <t xml:space="preserve">Остали акредитиви                                                                     </t>
  </si>
  <si>
    <t xml:space="preserve">Остала издвојена средства                                                                    </t>
  </si>
  <si>
    <t xml:space="preserve">Благајна                                                                      </t>
  </si>
  <si>
    <t xml:space="preserve">Главна благајна                                                                     </t>
  </si>
  <si>
    <t xml:space="preserve">Помоћна благајна                                                                     </t>
  </si>
  <si>
    <t xml:space="preserve">Благајна поштанских марака                                                                    </t>
  </si>
  <si>
    <t xml:space="preserve">Благајна судских марака                                                                    </t>
  </si>
  <si>
    <t xml:space="preserve">Благајна бонова за гориво                                                                   </t>
  </si>
  <si>
    <t xml:space="preserve">Остале благајне                                                                     </t>
  </si>
  <si>
    <t xml:space="preserve">Девизни рачун                                                                     </t>
  </si>
  <si>
    <t xml:space="preserve">Девизни рачун код домаћих банака                                                                  </t>
  </si>
  <si>
    <t xml:space="preserve">Девизни рачун код банака у иностранству                                                                 </t>
  </si>
  <si>
    <t xml:space="preserve">Девизни рачун за улог страног лица                                                                 </t>
  </si>
  <si>
    <t xml:space="preserve">Остали девизни рачуни                                                                    </t>
  </si>
  <si>
    <t xml:space="preserve">Добити које су резултат промене вредности девизних рачуна                                                               </t>
  </si>
  <si>
    <t xml:space="preserve">Прелазни девизни рачун                                                                    </t>
  </si>
  <si>
    <t xml:space="preserve">Девизни акредитиви                                                                     </t>
  </si>
  <si>
    <t xml:space="preserve">Акредитиви за плаћање увоза робе                                                                  </t>
  </si>
  <si>
    <t xml:space="preserve">Акредитиви за плаћање услуга у иностранству                                                                 </t>
  </si>
  <si>
    <t xml:space="preserve">Остали девизни акредитиви                                                                    </t>
  </si>
  <si>
    <t xml:space="preserve">Добити које су резултат промене вредности девизних акредитива                                                               </t>
  </si>
  <si>
    <t xml:space="preserve">Девизна благајна                                                                     </t>
  </si>
  <si>
    <t xml:space="preserve">Главна девизна благајна                                                                    </t>
  </si>
  <si>
    <t xml:space="preserve">Девизна благајна мењачнице                                                                    </t>
  </si>
  <si>
    <t xml:space="preserve">Добити које су резултат промене вредности девизних средстава у благајни                                                             </t>
  </si>
  <si>
    <t xml:space="preserve">Остале девизне благајне                                                                    </t>
  </si>
  <si>
    <t xml:space="preserve">Остала новчана средства                                                                    </t>
  </si>
  <si>
    <t xml:space="preserve">Новчана средства депонована за неисплаћене зараде запослених                                                                </t>
  </si>
  <si>
    <t xml:space="preserve">Новчана средства за накнаде зарада за рефундирано боловање, војне вежбе и слично                                                           </t>
  </si>
  <si>
    <t xml:space="preserve">Новчана средства евидентног рачуна прихода буџетских корисника                                                                </t>
  </si>
  <si>
    <t xml:space="preserve">Новчана средства судског депозита                                                                   </t>
  </si>
  <si>
    <t xml:space="preserve">Новчана средства код банке за куповину девиза                                                                </t>
  </si>
  <si>
    <t xml:space="preserve">Новчана средства код банке од продаје девиза                                                                </t>
  </si>
  <si>
    <t xml:space="preserve">Новчана средства упутница код поште                                                                  </t>
  </si>
  <si>
    <t xml:space="preserve">Новчана средства упутница код управе за трезор                                                                </t>
  </si>
  <si>
    <t xml:space="preserve">Племенити метали                                                                     </t>
  </si>
  <si>
    <t xml:space="preserve">Монетарно злато                                                                     </t>
  </si>
  <si>
    <t xml:space="preserve">Специјална права вучења                                                                    </t>
  </si>
  <si>
    <t xml:space="preserve">Хартије од вредности                                                                    </t>
  </si>
  <si>
    <t xml:space="preserve">Чекови                                                                      </t>
  </si>
  <si>
    <t xml:space="preserve">Динарски чекови правних лица                                                                   </t>
  </si>
  <si>
    <t xml:space="preserve">Динарски чекови предузетника                                                                    </t>
  </si>
  <si>
    <t xml:space="preserve">Динарски чекови грађана                                                                    </t>
  </si>
  <si>
    <t xml:space="preserve">Остали динарски чекови                                                                    </t>
  </si>
  <si>
    <t xml:space="preserve">Чекови дати на наплату                                                                   </t>
  </si>
  <si>
    <t xml:space="preserve">Протестовани чекови                                                                     </t>
  </si>
  <si>
    <t xml:space="preserve">Чекови у страној валути                                                                   </t>
  </si>
  <si>
    <t xml:space="preserve">Остале хартије од вредности                                                                   </t>
  </si>
  <si>
    <t xml:space="preserve">Обвезнице                                                                      </t>
  </si>
  <si>
    <t xml:space="preserve">Менице                                                                      </t>
  </si>
  <si>
    <t xml:space="preserve">Исправка вредности                                                                     </t>
  </si>
  <si>
    <t xml:space="preserve">Исправка вредности чекова                                                                    </t>
  </si>
  <si>
    <t xml:space="preserve">Исправка вредности осталих хартија од вредности                                                                 </t>
  </si>
  <si>
    <t xml:space="preserve">Краткорочна потраживања                                                                     </t>
  </si>
  <si>
    <t xml:space="preserve">Потраживања по основу продаје и друга потраживања                                                                </t>
  </si>
  <si>
    <t xml:space="preserve">Купци у земљи                                                                    </t>
  </si>
  <si>
    <t xml:space="preserve">Потраживања од купаца                                                                    </t>
  </si>
  <si>
    <t xml:space="preserve">Потраживања за продату комисиону и консигнациону робу                                                                </t>
  </si>
  <si>
    <t xml:space="preserve">Спорна потраживања од купаца                                                                   </t>
  </si>
  <si>
    <t xml:space="preserve">Исправка вредности потраживања од купаца у земљи                                                                </t>
  </si>
  <si>
    <t xml:space="preserve">Купци у иностранству                                                                    </t>
  </si>
  <si>
    <t xml:space="preserve">Исправка вредности потраживања од купаца у иностранству                                                                </t>
  </si>
  <si>
    <t xml:space="preserve">Потраживања за камате и дивиденде                                                                  </t>
  </si>
  <si>
    <t xml:space="preserve">Потраживања за уговорене камате                                                                   </t>
  </si>
  <si>
    <t xml:space="preserve">Потраживања за затезне камате                                                                   </t>
  </si>
  <si>
    <t xml:space="preserve">Потраживања за дивиденде                                                                    </t>
  </si>
  <si>
    <t xml:space="preserve">Исправка вредности потраживања за камате и дивиденде                                                                </t>
  </si>
  <si>
    <t xml:space="preserve">Потраживања од запослених                                                                    </t>
  </si>
  <si>
    <t xml:space="preserve">Аконтације за службено путовање у земљи                                                                 </t>
  </si>
  <si>
    <t xml:space="preserve">Аконтације за службено путовање у иностранство                                                                 </t>
  </si>
  <si>
    <t xml:space="preserve">Потраживања по основу накнаде штете                                                                  </t>
  </si>
  <si>
    <t xml:space="preserve">Потраживања по основу мањкова                                                                   </t>
  </si>
  <si>
    <t xml:space="preserve">Потраживања по основу бензинских бонова                                                                  </t>
  </si>
  <si>
    <t xml:space="preserve">Потраживања за откупљене станове                                                                   </t>
  </si>
  <si>
    <t xml:space="preserve">Потраживања за стамбене кредите                                                                   </t>
  </si>
  <si>
    <t xml:space="preserve">Остала потраживања од запослених                                                                   </t>
  </si>
  <si>
    <t xml:space="preserve">Исправка вредности потраживања од запослених                                                                  </t>
  </si>
  <si>
    <t xml:space="preserve">Потраживања од других органа и организација                                                                 </t>
  </si>
  <si>
    <t xml:space="preserve">Потраживања од јавних прихода за мање дозначена средства                                                               </t>
  </si>
  <si>
    <t xml:space="preserve">Потраживања на основу субвенција и дотација                                                                 </t>
  </si>
  <si>
    <t xml:space="preserve">Потраживања за регресе, премије и компензације                                                                 </t>
  </si>
  <si>
    <t xml:space="preserve">Потраживања за повраћај царина и других дажбина                                                                </t>
  </si>
  <si>
    <t xml:space="preserve">Остала потраживања од државних органа и организација                                                                </t>
  </si>
  <si>
    <t xml:space="preserve">Потраживања за неосигурана лица                                                                   </t>
  </si>
  <si>
    <t xml:space="preserve">Спорна потраживања                                                                     </t>
  </si>
  <si>
    <t xml:space="preserve">Исправка вредности потраживања од других органа и организација                                                               </t>
  </si>
  <si>
    <t xml:space="preserve">Потраживања по основу преплаћених пореза и доприноса                                                                </t>
  </si>
  <si>
    <t xml:space="preserve">Потраживања за преплаћене порезе на промет производа и услуга                                                              </t>
  </si>
  <si>
    <t xml:space="preserve">Потраживања за преплаћене порезе на зараде и накнаде зарада                                                              </t>
  </si>
  <si>
    <t xml:space="preserve">Потраживања за преплаћене доприносе на зараде и накнаде зарада                                                              </t>
  </si>
  <si>
    <t xml:space="preserve">Потраживања за преплаћене остале порезе и доприносе                                                                </t>
  </si>
  <si>
    <t xml:space="preserve">Накнадно враћен порез на додату вредност купцима – страним држављанима                                                             </t>
  </si>
  <si>
    <t xml:space="preserve">Исправка вредности потраживања по основу преплаћених пореза и доприноса                                                              </t>
  </si>
  <si>
    <t xml:space="preserve">Остала потраживања                                                                     </t>
  </si>
  <si>
    <t xml:space="preserve">Потраживања по основу позајмице из сталне буџетске резерве                                                               </t>
  </si>
  <si>
    <t xml:space="preserve">Потраживања од фондова по основу исплаћених накнада запосленима                                                               </t>
  </si>
  <si>
    <t xml:space="preserve">Потраживања од осигуравајућих организација за накнаду штете                                                                </t>
  </si>
  <si>
    <t xml:space="preserve">Потраживања од других правних и физичких лица за накнаду штете                                                             </t>
  </si>
  <si>
    <t xml:space="preserve">Потраживања за доспеле отплате по дугорочним пласманима                                                                </t>
  </si>
  <si>
    <t xml:space="preserve">Депозити код судова за вештачење и за учешће на лицитацији                                                             </t>
  </si>
  <si>
    <t xml:space="preserve">Остала краткорочна потраживања                                                                    </t>
  </si>
  <si>
    <t xml:space="preserve">Исправка вредности осталих потраживања                                                                   </t>
  </si>
  <si>
    <t xml:space="preserve">Краткорочни пласмани                                                                     </t>
  </si>
  <si>
    <t xml:space="preserve">Краткорочни кредити                                                                     </t>
  </si>
  <si>
    <t xml:space="preserve">Краткорочни кредити дати у земљи                                                                  </t>
  </si>
  <si>
    <t xml:space="preserve">Кредити дати осталим нивоима власти                                                                  </t>
  </si>
  <si>
    <t xml:space="preserve">Кредити дати запосленима у складу са прописима                                                                </t>
  </si>
  <si>
    <t xml:space="preserve">Дати потрошачки кредити                                                                    </t>
  </si>
  <si>
    <t xml:space="preserve">Остали домаћи дати кредити                                                                   </t>
  </si>
  <si>
    <t xml:space="preserve">Краткорочни кредити дати у иностранству                                                                  </t>
  </si>
  <si>
    <t xml:space="preserve">Кредити дати страним владама                                                                   </t>
  </si>
  <si>
    <t xml:space="preserve">Кредити дати страним појединцима                                                                   </t>
  </si>
  <si>
    <t xml:space="preserve">Остали страни кредити                                                                    </t>
  </si>
  <si>
    <t xml:space="preserve">Исправка вредности краткорочних кредита                                                                   </t>
  </si>
  <si>
    <t xml:space="preserve">Дати аванси, депозити и кауције                                                                  </t>
  </si>
  <si>
    <t xml:space="preserve">Аванси за набавку материјала                                                                   </t>
  </si>
  <si>
    <t xml:space="preserve">Аванси за набавку робе                                                                   </t>
  </si>
  <si>
    <t xml:space="preserve">Аванси за обављање услуга                                                                   </t>
  </si>
  <si>
    <t xml:space="preserve">Аванси за остале потребе                                                                   </t>
  </si>
  <si>
    <t xml:space="preserve">Краткорочни депозити                                                                     </t>
  </si>
  <si>
    <t xml:space="preserve">Краткорочне кауције                                                                     </t>
  </si>
  <si>
    <t xml:space="preserve">Исправка вредности аванса, депозита и кауција                                                                 </t>
  </si>
  <si>
    <t xml:space="preserve">Хартије од вредности намењене продаји                                                                  </t>
  </si>
  <si>
    <t xml:space="preserve">Акције                                                                      </t>
  </si>
  <si>
    <t xml:space="preserve">Благајнички записи                                                                     </t>
  </si>
  <si>
    <t xml:space="preserve">Комерцијални записи                                                                     </t>
  </si>
  <si>
    <t xml:space="preserve">Државни записи и сертификати о депозиту                                                                 </t>
  </si>
  <si>
    <t xml:space="preserve">Финансијски деривати којима се тргује на берзи                                                                </t>
  </si>
  <si>
    <t xml:space="preserve">Остале краткорочне и дугорочне хартије од вредности намењене продаји                                                              </t>
  </si>
  <si>
    <t xml:space="preserve">Удео у капиталу другог правног лица                                                                 </t>
  </si>
  <si>
    <t xml:space="preserve">Исправка вредности хартија од вредности намењених продаји                                                                </t>
  </si>
  <si>
    <t xml:space="preserve">Остали краткорочни пласмани                                                                    </t>
  </si>
  <si>
    <t xml:space="preserve">Краткорочно орочена динарска средства                                                                   </t>
  </si>
  <si>
    <t xml:space="preserve">Краткорочно орочена девизна средства                                                                   </t>
  </si>
  <si>
    <t xml:space="preserve">Остали краткорочни пласмани у земљи                                                                  </t>
  </si>
  <si>
    <t xml:space="preserve">Остали краткорочни пласмани у иностранству                                                                  </t>
  </si>
  <si>
    <t xml:space="preserve">Спорни остали краткорочни пласмани                                                                   </t>
  </si>
  <si>
    <t xml:space="preserve">Порез на додату вредност                                                                   </t>
  </si>
  <si>
    <t xml:space="preserve">Порез на додату вредност у примљеним фактурама по општој стопи (осим плаћених аванса)                                                          </t>
  </si>
  <si>
    <t xml:space="preserve">Порез на додату вредност у примљеним фактурама по посебној стопи (осим плаћених аванса)                                                          </t>
  </si>
  <si>
    <t xml:space="preserve">Порез на додату вредност у датим авансима по општој стопи                                                             </t>
  </si>
  <si>
    <t xml:space="preserve">Порез на додату вредност у датим авансима по посебној стопи                                                             </t>
  </si>
  <si>
    <t xml:space="preserve">Порез на додату вредност плаћен при увозу добара по општој стопи                                                            </t>
  </si>
  <si>
    <t xml:space="preserve">Порез на додату вредност плаћен при увозу добара по посебној стопи                                                            </t>
  </si>
  <si>
    <t xml:space="preserve">Порез на додату вредност обрачунат на услуге иностраних лица                                                              </t>
  </si>
  <si>
    <t xml:space="preserve">Пдв надокнада плаћена пољопривреднику                                                                   </t>
  </si>
  <si>
    <t xml:space="preserve">Потраживање за више плаћени порез на додату вредност                                                               </t>
  </si>
  <si>
    <t xml:space="preserve">Исправка вредности осталих краткорочних пласмана                                                                  </t>
  </si>
  <si>
    <t xml:space="preserve">Активна временска разграничења                                                                    </t>
  </si>
  <si>
    <t xml:space="preserve">Разграничени расходи до једне године                                                                  </t>
  </si>
  <si>
    <t xml:space="preserve">Унапред плаћена премија осигурања                                                                   </t>
  </si>
  <si>
    <t xml:space="preserve">Унапред плаћена закупнина                                                                    </t>
  </si>
  <si>
    <t xml:space="preserve">Унапред плаћена претплата за стручне часописе и публикације                                                               </t>
  </si>
  <si>
    <t xml:space="preserve">Унапред плаћени расходи грејања                                                                   </t>
  </si>
  <si>
    <t xml:space="preserve">Остали унапред плаћени расходи                                                                   </t>
  </si>
  <si>
    <t xml:space="preserve">Обрачунати неплаћени расходи и издаци                                                                  </t>
  </si>
  <si>
    <t xml:space="preserve">Обрачунати неплаћени расходи                                                                    </t>
  </si>
  <si>
    <t xml:space="preserve">Обрачунати неплаћени издаци                                                                    </t>
  </si>
  <si>
    <t xml:space="preserve">Остала активна временска разграничења                                                                   </t>
  </si>
  <si>
    <t xml:space="preserve">Обрачунати приходи од камата које се односе на обрачунски период а доспевају за наплату у наредном периоду                                                      </t>
  </si>
  <si>
    <t xml:space="preserve">Обавезе                                                                      </t>
  </si>
  <si>
    <t xml:space="preserve">Дугорочне обавезе                                                                     </t>
  </si>
  <si>
    <t xml:space="preserve">Домаће дугорочне обавезе                                                                    </t>
  </si>
  <si>
    <t xml:space="preserve">Обавезе по основу емитованих хартија од вредности, изузев акција                                                              </t>
  </si>
  <si>
    <t xml:space="preserve">Обавезе по основу дугорочних кредита од осталих нивоа власти                                                              </t>
  </si>
  <si>
    <t xml:space="preserve">Обавезе по основу дугорочних кредита од нивоа републике                                                               </t>
  </si>
  <si>
    <t xml:space="preserve">Обавезе по основу дугорочних кредита од нивоа територијалних аутономија                                                              </t>
  </si>
  <si>
    <t xml:space="preserve">Обавезе по основу дугорочних кредита од нивоа градова                                                               </t>
  </si>
  <si>
    <t xml:space="preserve">Обавезе по основу дугорочних кредита од нивоа општина                                                               </t>
  </si>
  <si>
    <t xml:space="preserve">Обавезе по основу дугорочних кредита од организација обавезног социјалног осигурања                                                             </t>
  </si>
  <si>
    <t xml:space="preserve">Обавезе по основу дугорочних кредита од републичког фонда за здравствено осигурање                                                            </t>
  </si>
  <si>
    <t xml:space="preserve">Обавезе по основу дугорочних кредита од републичког фонда за пио                                                             </t>
  </si>
  <si>
    <t xml:space="preserve">Обавезе по основу дугорочних кредита од националне службе за запошљавање                                                             </t>
  </si>
  <si>
    <t xml:space="preserve">Обавезе по основу дугорочних кредита од домаћих јавних финансијских институција                                                             </t>
  </si>
  <si>
    <t xml:space="preserve">Обавезе по основу дугорочних кредита од нбс                                                                </t>
  </si>
  <si>
    <t xml:space="preserve">Обавезе по основу дугорочних кредита од осталих домаћих јавних финансијских институција                                                            </t>
  </si>
  <si>
    <t xml:space="preserve">Обавезе по основу дугорочних кредита од домаћих пословних банака                                                              </t>
  </si>
  <si>
    <t xml:space="preserve">Обавезе по основу дугорочних кредита од осталих домаћих кредитора                                                              </t>
  </si>
  <si>
    <t xml:space="preserve">Обавезе по основу дугорочних кредита од домаћинстава у земљи                                                              </t>
  </si>
  <si>
    <t xml:space="preserve">Дугорочне обавезе по основу домаћих финансијских деривата                                                                </t>
  </si>
  <si>
    <t xml:space="preserve">Дугорочне обавезе по основу домаћих меница                                                                 </t>
  </si>
  <si>
    <t xml:space="preserve">Дугорочне обавезе за финансијске лизинге                                                                  </t>
  </si>
  <si>
    <t xml:space="preserve">Дугорочне обавезе за финансијске лизинге за зграде и грађевинске објекте                                                             </t>
  </si>
  <si>
    <t xml:space="preserve">Дугорочне обавезе за финансијске лизинге за опрему                                                                </t>
  </si>
  <si>
    <t xml:space="preserve">Дугорочне обавезе за финансијске лизинге за осталу нефинансијску имовину                                                              </t>
  </si>
  <si>
    <t xml:space="preserve">Стране дугорочне обавезе                                                                    </t>
  </si>
  <si>
    <t xml:space="preserve">Дугорочне стране обавезе по основу емитованих хартија од вредности, изузев акција                                                            </t>
  </si>
  <si>
    <t xml:space="preserve">Обавезе по основу дугорочних кредита од страних влада                                                               </t>
  </si>
  <si>
    <t xml:space="preserve">Обавезе по основу дугорочних кредита од париског клуба                                                               </t>
  </si>
  <si>
    <t xml:space="preserve">Обавезе по основу дугорочних кредита од извозно увозних банака                                                              </t>
  </si>
  <si>
    <t xml:space="preserve">Обавезе по основу дугорочних кредита од осталих страних влада                                                              </t>
  </si>
  <si>
    <t xml:space="preserve">Обавезе по основу дугорочних кредита од мултилатералних институција                                                               </t>
  </si>
  <si>
    <t xml:space="preserve">Обавезе по основу дугорочних кредита од светске банке                                                               </t>
  </si>
  <si>
    <t xml:space="preserve">Обавезе по основу дугорочних кредита од ibrd                                                                </t>
  </si>
  <si>
    <t xml:space="preserve">Обавезе по основу дугорочних кредита од ebrd                                                                </t>
  </si>
  <si>
    <t xml:space="preserve">Обавезе по основу дугорочних кредита од eib                                                                </t>
  </si>
  <si>
    <t xml:space="preserve">Обавезе по основу дугорочних кредита од ceb                                                                </t>
  </si>
  <si>
    <t xml:space="preserve">Обавезе по основу дугорочних кредита од осталих мултилатералних институција                                                              </t>
  </si>
  <si>
    <t xml:space="preserve">Обавезе по основу дугорочних кредита од страних пословних банака                                                              </t>
  </si>
  <si>
    <t xml:space="preserve">Обавезе по основу дугорочних кредита од лондонског клуба                                                               </t>
  </si>
  <si>
    <t xml:space="preserve">Обавезе по основу дугорочних кредита од осталих страних пословних банака                                                             </t>
  </si>
  <si>
    <t xml:space="preserve">Обавезе по основу дугорочних кредита од осталих страних кредитора                                                              </t>
  </si>
  <si>
    <t xml:space="preserve">Дугорочне обавезе по основу страних финансијских деривата                                                                </t>
  </si>
  <si>
    <t xml:space="preserve">Дугорочне обавезе по основу гаранција                                                                  </t>
  </si>
  <si>
    <t xml:space="preserve">Краткорочне обавезе                                                                     </t>
  </si>
  <si>
    <t xml:space="preserve">Краткорочне домаће обавезе                                                                    </t>
  </si>
  <si>
    <t xml:space="preserve">Краткорочне домаће обавезе по основу емитованих хартија од вредности, изузев акција                                                            </t>
  </si>
  <si>
    <t xml:space="preserve">Обавезе по основу краткорочних кредита од осталих нивоа власти                                                              </t>
  </si>
  <si>
    <t xml:space="preserve">Обавезе по основу краткорочних кредита од нивоа републике                                                               </t>
  </si>
  <si>
    <t xml:space="preserve">Обавезе по основу краткорочних кредита од нивоа територијалних аутономија                                                              </t>
  </si>
  <si>
    <t xml:space="preserve">Обавезе по основу краткорочних кредита од нивоа градова                                                               </t>
  </si>
  <si>
    <t xml:space="preserve">Обавезе по основу краткорочних кредита од нивоа општина                                                               </t>
  </si>
  <si>
    <t xml:space="preserve">Обавезе по основу краткорочних кредита од организација обавезног социјалног осигурања                                                             </t>
  </si>
  <si>
    <t xml:space="preserve">Обавезе по основу краткорочних кредита од републичког фонда за здравствено осигурање                                                            </t>
  </si>
  <si>
    <t xml:space="preserve">Обавезе по основу краткорочних кредита од републичког фонда за пио                                                             </t>
  </si>
  <si>
    <t xml:space="preserve">Обавезе по основу краткорочних кредита од националне службе за запошљавање                                                             </t>
  </si>
  <si>
    <t xml:space="preserve">Обавезе по основу краткорочних кредита од домаћих јавних финансијских институција                                                             </t>
  </si>
  <si>
    <t xml:space="preserve">Обавезе по основу краткорочних кредита од нбс                                                                </t>
  </si>
  <si>
    <t xml:space="preserve">Обавезе по основу краткорочних кредита од осталих домаћих јавних финансијских институција                                                            </t>
  </si>
  <si>
    <t xml:space="preserve">Обавезе по основу краткорочних кредита од домаћих пословних банака                                                              </t>
  </si>
  <si>
    <t xml:space="preserve">Обавезе по основу краткорочних кредита од осталих домаћих кредитора                                                              </t>
  </si>
  <si>
    <t xml:space="preserve">Обавезе по основу краткорочних кредита од домаћинстава у земљи                                                              </t>
  </si>
  <si>
    <t xml:space="preserve">Краткорочне обавезе по основу домаћих финансијских деривата                                                                </t>
  </si>
  <si>
    <t xml:space="preserve">Краткорочне обавезе по основу домаћих меница                                                                 </t>
  </si>
  <si>
    <t xml:space="preserve">Краткорочне стране обавезе                                                                    </t>
  </si>
  <si>
    <t xml:space="preserve">Краткорочне стране обавезе по основу емитованих хартија од вредности, изузев акција                                                            </t>
  </si>
  <si>
    <t xml:space="preserve">Обавезе по основу краткорочних крeдита од страних влада                                                               </t>
  </si>
  <si>
    <t xml:space="preserve">Обавезе по основу краткорочних кредита од париског клуба                                                               </t>
  </si>
  <si>
    <t xml:space="preserve">Обавезе по основу краткорочних кредита од извозно - увозних банака                                                             </t>
  </si>
  <si>
    <t xml:space="preserve">Обавезе по основу краткорочних кредита од осталих страних влада                                                              </t>
  </si>
  <si>
    <t xml:space="preserve">Обавезе по основу краткорочних кредита од мултилатералних институција                                                               </t>
  </si>
  <si>
    <t xml:space="preserve">Обавезе по основу краткорочних кредита од светске банке                                                               </t>
  </si>
  <si>
    <t xml:space="preserve">Обавезе по основу краткорочних кредита од ibrd                                                                </t>
  </si>
  <si>
    <t xml:space="preserve">Обавезе по основу краткорочних кредита од ebrd                                                                </t>
  </si>
  <si>
    <t xml:space="preserve">Обавезе по основу краткорочних кредита од eib                                                                </t>
  </si>
  <si>
    <t xml:space="preserve">Обавезе по основу краткорочних кредита од ceb                                                                </t>
  </si>
  <si>
    <t xml:space="preserve">Обавезе по основу краткорочних кредита од осталих мултилатералних институција                                                              </t>
  </si>
  <si>
    <t xml:space="preserve">Обавезе по основу краткорочних кредита од страних пословних банака                                                              </t>
  </si>
  <si>
    <t xml:space="preserve">Обавезе по основу краткорочних кредита од лондонског клуба                                                               </t>
  </si>
  <si>
    <t xml:space="preserve">Обавезе по основу краткорочних кредита од осталих страних пословних банака                                                             </t>
  </si>
  <si>
    <t xml:space="preserve">Обавезе по основу краткорочних кредита од осталих страних кредитора                                                              </t>
  </si>
  <si>
    <t xml:space="preserve">Краткорочне обавезе по основу страних финансијских деривата                                                                </t>
  </si>
  <si>
    <t xml:space="preserve">Краткорочне обавезе по основу гаранција                                                                  </t>
  </si>
  <si>
    <t xml:space="preserve">Обавезе по основу расхода за запослене                                                                 </t>
  </si>
  <si>
    <t xml:space="preserve">Обавезе за плате и додатке                                                                  </t>
  </si>
  <si>
    <t xml:space="preserve">Обавезе за нето плате и додатке                                                                 </t>
  </si>
  <si>
    <t xml:space="preserve">Обавезе по основу пореза на плате и додатке                                                               </t>
  </si>
  <si>
    <t xml:space="preserve">Обавезе по основу доприноса за пензијско и инвалидско осигурање на плате и додатке                                                          </t>
  </si>
  <si>
    <t xml:space="preserve">Обавезе по основу доприноса за здравствено осигурање на плате и додатке                                                            </t>
  </si>
  <si>
    <t xml:space="preserve">Обавезе по основу доприноса за незапосленост на плате и додатке                                                             </t>
  </si>
  <si>
    <t xml:space="preserve">Обавезе по основу накнада запосленима                                                                  </t>
  </si>
  <si>
    <t xml:space="preserve">Обавезе по основу нето накнада запосленима                                                                 </t>
  </si>
  <si>
    <t xml:space="preserve">Обавезе по основу пореза за накнаде запосленима                                                                </t>
  </si>
  <si>
    <t xml:space="preserve">Обавезе по основу доприноса за пензијско и инвалидско осигурање за накнаде запосленима                                                           </t>
  </si>
  <si>
    <t xml:space="preserve">Обавезе по основу доприноса за здравствено осигурање за накнаде запосленима                                                             </t>
  </si>
  <si>
    <t xml:space="preserve">Обавезе по основу доприноса за незапосленост за накнаде запосленима                                                              </t>
  </si>
  <si>
    <t xml:space="preserve">Обавезе за награде и остале посебне расходе                                                                </t>
  </si>
  <si>
    <t xml:space="preserve">Обавезе по основу нето исплата награда и осталих посебних расхода                                                             </t>
  </si>
  <si>
    <t xml:space="preserve">Обавезе по основу пореза на награде и остале посебне расходе                                                             </t>
  </si>
  <si>
    <t xml:space="preserve">Обавезе по основу доприноса за пензијско и инвалидско осигурање за награде и остале посебне расходе                                                        </t>
  </si>
  <si>
    <t xml:space="preserve">Обавезе по основу доприноса за здравствено осигурање за награде и остале посебне расходе                                                          </t>
  </si>
  <si>
    <t xml:space="preserve">Обавезе по основу доприноса за случај незапослености за награде и остале посебне расходе                                                          </t>
  </si>
  <si>
    <t xml:space="preserve">Обавезе по основу социјалних доприноса на терет послодавца                                                               </t>
  </si>
  <si>
    <t xml:space="preserve">Обавезе по основу доприноса за пензијско и инвалидско осигурање на терет послодавца                                                           </t>
  </si>
  <si>
    <t xml:space="preserve">Обавезе по основу доприноса за здравствено осигурање на терет послодавца                                                             </t>
  </si>
  <si>
    <t xml:space="preserve">Обавезе по основу доприноса за случај незапослености на терет послодавца                                                             </t>
  </si>
  <si>
    <t xml:space="preserve">Обавезе по основу накнада у натури                                                                 </t>
  </si>
  <si>
    <t xml:space="preserve">Обавезе по основу нето накнада у натури                                                                </t>
  </si>
  <si>
    <t xml:space="preserve">Обавезе по основу пореза на накнаде у натури                                                               </t>
  </si>
  <si>
    <t xml:space="preserve">Обавезе по основу доприноса за пензијско и инвалидско осигурање за накнаде у натури                                                          </t>
  </si>
  <si>
    <t xml:space="preserve">Обавезе по основу доприноса за здравствено осигурање за накнаде у натури                                                            </t>
  </si>
  <si>
    <t xml:space="preserve">Обавезе по основу доприноса за случај незапослености за накнаде у натури                                                            </t>
  </si>
  <si>
    <t xml:space="preserve">Обавезе по основу социјалне помоћи запосленима                                                                 </t>
  </si>
  <si>
    <t xml:space="preserve">Обавезе по основу нето исплата социјалне помоћи запосленима                                                               </t>
  </si>
  <si>
    <t xml:space="preserve">Обавезе по основу нето накнада рефундације                                                                 </t>
  </si>
  <si>
    <t xml:space="preserve">Обавезе по основу нето накнада за породиљско одсуство                                                               </t>
  </si>
  <si>
    <t xml:space="preserve">Обавезе по основу нето накнада за боловање преко 30 дана                                                             </t>
  </si>
  <si>
    <t xml:space="preserve">Обавезе по основу нето накнада за инвалидност другог степена                                                              </t>
  </si>
  <si>
    <t xml:space="preserve">Обавезе по основу пореза на социјалну помоћ запосленима                                                               </t>
  </si>
  <si>
    <t xml:space="preserve">Обавезе по основу доприноса за пензијско и инвалидско осигурање за социјалну помоћ запосленима                                                          </t>
  </si>
  <si>
    <t xml:space="preserve">Обавезе по основу доприноса за здравствено осигурање за социјалну помоћ запосленима                                                            </t>
  </si>
  <si>
    <t xml:space="preserve">Обавезе по основу доприноса за случај незапослености за социјалну помоћ запосленима                                                            </t>
  </si>
  <si>
    <t xml:space="preserve">Службена путовања и услуге по уговору                                                                 </t>
  </si>
  <si>
    <t xml:space="preserve">Обавезе по основу нето исплата за службена путовања                                                               </t>
  </si>
  <si>
    <t xml:space="preserve">Обавезе по основу нето исплата за службена путовања  у земљи                                                            </t>
  </si>
  <si>
    <t xml:space="preserve">Обавезе по основу нето исплата за службена путовања  у иностранство                                                            </t>
  </si>
  <si>
    <t xml:space="preserve">Обавезе по основу пореза на исплате за службена путовања                                                              </t>
  </si>
  <si>
    <t xml:space="preserve">Обавезе по основу нето исплата за услуге по уговору                                                              </t>
  </si>
  <si>
    <t xml:space="preserve">Обавезе по основу пореза на исплате за услуге по уговору                                                             </t>
  </si>
  <si>
    <t xml:space="preserve">Обавезе по основу доприноса за пензијско и инвалидско осигурање за услуге по уговору                                                          </t>
  </si>
  <si>
    <t xml:space="preserve">Обавезе по основу доприноса за здравствено осигурање за услуге по уговору                                                            </t>
  </si>
  <si>
    <t xml:space="preserve">Обавезе по основу доприноса за случај незапослености за услуге по уговору                                                            </t>
  </si>
  <si>
    <t xml:space="preserve">Обавезе по основу посланичких додатака                                                                  </t>
  </si>
  <si>
    <t xml:space="preserve">Обавезе за нето исплаћени посланички додатак                                                                 </t>
  </si>
  <si>
    <t xml:space="preserve">Обавезе по основу пореза на исплаћени посланички додатак                                                               </t>
  </si>
  <si>
    <t xml:space="preserve">Обавезе по основу доприноса за пензијско и инвалидско осигурање за посланички додатак                                                           </t>
  </si>
  <si>
    <t xml:space="preserve">Обавезе по основу доприноса за здравствено осигурање за посланички додатак                                                             </t>
  </si>
  <si>
    <t xml:space="preserve">Обавезе по основу доприноса за случај незапослености за посланички додатак                                                             </t>
  </si>
  <si>
    <t xml:space="preserve">Обавезе по основу судијских  додатака                                                                 </t>
  </si>
  <si>
    <t xml:space="preserve">Обавезе за нето исплаћени судијски додатак                                                                 </t>
  </si>
  <si>
    <t xml:space="preserve">Обавезе по основу пореза на исплаћени судијски додатак                                                               </t>
  </si>
  <si>
    <t xml:space="preserve">Обавезе по основу доприноса за пензијско и инвалидско осигурање за судијски додатак                                                           </t>
  </si>
  <si>
    <t xml:space="preserve">Обавезе по основу доприноса за здравствено осигурање за судијски додатак                                                             </t>
  </si>
  <si>
    <t xml:space="preserve">Обавезе по основу доприноса за случај незапослености за судијски додатак                                                             </t>
  </si>
  <si>
    <t xml:space="preserve">Обавезе по основу осталих расхода, изузев расхода за запослене                                                              </t>
  </si>
  <si>
    <t xml:space="preserve">Обавезе по основу отплате камата и пратећих трошкова задуживања                                                              </t>
  </si>
  <si>
    <t xml:space="preserve">Обавезе по основу отплате домаћих камата                                                                 </t>
  </si>
  <si>
    <t xml:space="preserve">Обавезе по основу отплате камата на домаће хартије од вредности                                                             </t>
  </si>
  <si>
    <t xml:space="preserve">Обавезе по основу отплате камата на краткорочне домаће хартије од вредности                                                            </t>
  </si>
  <si>
    <t xml:space="preserve">Обавезе по основу отплате камата на дугорочне домаће хартије од вредности                                                            </t>
  </si>
  <si>
    <t xml:space="preserve">Обавезе по основу отплате камата осталим нивоима власти                                                               </t>
  </si>
  <si>
    <t xml:space="preserve">Обавезе по основу отплате камата нивоу републике                                                                </t>
  </si>
  <si>
    <t xml:space="preserve">Обавезе по основу отплате камата нивоу територијалних аутономија                                                               </t>
  </si>
  <si>
    <t xml:space="preserve">Обавезе по основу отплате камата нивоу градова                                                                </t>
  </si>
  <si>
    <t xml:space="preserve">Обавезе по основу отплате камата нивоу општина                                                                </t>
  </si>
  <si>
    <t xml:space="preserve">Обавезе по основу отплате камата организацијама обавезног социјалног осигурања                                                              </t>
  </si>
  <si>
    <t xml:space="preserve">Обавезе по основу отплате камата домаћим јавним финансијским институцијама                                                              </t>
  </si>
  <si>
    <t xml:space="preserve">Обавезе по основу отплате камата нбс                                                                 </t>
  </si>
  <si>
    <t xml:space="preserve">Обавезе по основу отплате камата осталим домаћим јавним финансијским институцијама                                                             </t>
  </si>
  <si>
    <t xml:space="preserve">Обавезе по основу отплате камата домаћим пословним банкама                                                               </t>
  </si>
  <si>
    <t xml:space="preserve">Обавезе по основу отплате камата осталим домаћим кредиторима                                                               </t>
  </si>
  <si>
    <t xml:space="preserve">Обавезе по основу отплате камата домаћинствима у земљи                                                               </t>
  </si>
  <si>
    <t xml:space="preserve">Обавезе по основу отплате камата на домаће финансијске деривате                                                              </t>
  </si>
  <si>
    <t xml:space="preserve">Обавезе по основу отплате камата на менице                                                                </t>
  </si>
  <si>
    <t xml:space="preserve">Обавезе по основу отплате страних камата                                                                 </t>
  </si>
  <si>
    <t xml:space="preserve">Обавезе по основу отплате камата на стране хартије од вредности                                                             </t>
  </si>
  <si>
    <t xml:space="preserve">Обавезе по основу отплате камата на краткорочне стране хартије од вредности                                                            </t>
  </si>
  <si>
    <t xml:space="preserve">Обавезе по основу отплате камата на дугорочне стране хартије од вредности                                                            </t>
  </si>
  <si>
    <t xml:space="preserve">Обавезе по основу отплате камата страним владама                                                                </t>
  </si>
  <si>
    <t xml:space="preserve">Обавезе по основу отплате камата париском клубу                                                                </t>
  </si>
  <si>
    <t xml:space="preserve">Обавезе по основу отплате камата извозно увозним банкама                                                               </t>
  </si>
  <si>
    <t xml:space="preserve">Обавезе по основу отплате камата осталим страним владама                                                               </t>
  </si>
  <si>
    <t xml:space="preserve">Обавезе по основу отплате камата мултилатералним институцијама                                                                </t>
  </si>
  <si>
    <t xml:space="preserve">Обавезе по основу отплате камата светској банци                                                                </t>
  </si>
  <si>
    <t xml:space="preserve">Обавезе по основу отплате камата ibrd                                                                 </t>
  </si>
  <si>
    <t xml:space="preserve">Обавезе по основу отплате камата ebrd                                                                 </t>
  </si>
  <si>
    <t xml:space="preserve">Обавезе по основу отплате камата eib                                                                 </t>
  </si>
  <si>
    <t xml:space="preserve">Обавезе по основу отплате камата ceb                                                                 </t>
  </si>
  <si>
    <t xml:space="preserve">Обавезе по основу отплате камата осталим мултилатералним институцијама                                                               </t>
  </si>
  <si>
    <t xml:space="preserve">Обавезе по основу отплате камата страним пословним банкама                                                               </t>
  </si>
  <si>
    <t xml:space="preserve">Обавезе по основу отплате камата лондонском клубу                                                                </t>
  </si>
  <si>
    <t xml:space="preserve">Обавезе по основу отплате камата осталим страним пословним банкама                                                              </t>
  </si>
  <si>
    <t xml:space="preserve">Обавезе по основу отплате камата осталим страним кредиторима                                                               </t>
  </si>
  <si>
    <t xml:space="preserve">Обавезе по основу отплате камата на стране финансијске деривате                                                              </t>
  </si>
  <si>
    <t xml:space="preserve">Обавезе по основу отплате камата по гаранцијама                                                                </t>
  </si>
  <si>
    <t xml:space="preserve">Обавезе по основу пратећих трошкова задуживања                                                                 </t>
  </si>
  <si>
    <t xml:space="preserve">Негативна курсна разлика                                                                    </t>
  </si>
  <si>
    <t xml:space="preserve">Затезне камате                                                                     </t>
  </si>
  <si>
    <t xml:space="preserve">Таксе везане за задуживање                                                                   </t>
  </si>
  <si>
    <t xml:space="preserve">Обавезе по основу субвенција                                                                   </t>
  </si>
  <si>
    <t xml:space="preserve">Обавезе по основу субвенција нефинансијским предузећима                                                                 </t>
  </si>
  <si>
    <t xml:space="preserve">Обавезе по основу текућих субвенција нефинансијским предузећима                                                                </t>
  </si>
  <si>
    <t xml:space="preserve">Обавезе по основу текућих субвенција јавном градском саобраћају                                                               </t>
  </si>
  <si>
    <t xml:space="preserve">Обавезе по основу текућих субвенција у јавном железничком саобраћају                                                              </t>
  </si>
  <si>
    <t xml:space="preserve">Обавезе по основу текућих субвенција водопривреди                                                                 </t>
  </si>
  <si>
    <t xml:space="preserve">Обавезе по основу текућих субвенција у пољопривреди                                                                </t>
  </si>
  <si>
    <t xml:space="preserve">Обавезе по основу текућих субвенција осталим јавним нефинансијским предузећима                                                              </t>
  </si>
  <si>
    <t xml:space="preserve">Обавеза по основу капиталних субвенција јавним нефинансијским предузећима                                                               </t>
  </si>
  <si>
    <t xml:space="preserve">Обавезе по основу капиталних субвенција јавном градском саобраћају                                                               </t>
  </si>
  <si>
    <t xml:space="preserve">Обавезе по основу капиталних субвенција у јавном железничком саобраћају                                                              </t>
  </si>
  <si>
    <t xml:space="preserve">Обавезе по основу капиталних субвенција водопривреди                                                                 </t>
  </si>
  <si>
    <t xml:space="preserve">Обавезе по основу капиталних субвенција у пољопривреди                                                                </t>
  </si>
  <si>
    <t xml:space="preserve">Обавезе по основу капиталних субвенција осталим јавним нефинансијским предузећима                                                              </t>
  </si>
  <si>
    <t xml:space="preserve">Обавезе по основу субвенција приватним финансијским предузећима                                                                </t>
  </si>
  <si>
    <t xml:space="preserve">Обавезе по основу текућих субвенција приватним финансијским предузећима                                                               </t>
  </si>
  <si>
    <t xml:space="preserve">Обавезе по основу текућих субвенција пословним и трговачким банкама                                                              </t>
  </si>
  <si>
    <t xml:space="preserve">Обавезе по основу текућих субвенција осталим приватним финансијским предузећима                                                              </t>
  </si>
  <si>
    <t xml:space="preserve">Обавезе по основу капиталних субвенција приватним финансијским предузећима                                                               </t>
  </si>
  <si>
    <t xml:space="preserve">Обавезе по основу капиталних субвенција пословним и трговачким банкама                                                              </t>
  </si>
  <si>
    <t xml:space="preserve">Обавезе по основу капиталних субвенција осталим приватним финансијским предузећима                                                              </t>
  </si>
  <si>
    <t xml:space="preserve">Обавезе по основу субвенција јавним финансијским установама                                                                </t>
  </si>
  <si>
    <t xml:space="preserve">Обавезе по основу текућих субвенција јавним финансијским установама                                                               </t>
  </si>
  <si>
    <t xml:space="preserve">Обавезе по основу текућих субвенција нбс                                                                 </t>
  </si>
  <si>
    <t xml:space="preserve">Обавезе по основу текућих субвенција осталим домаћим јавним финансијским установама                                                             </t>
  </si>
  <si>
    <t xml:space="preserve">Обавезе по основу капиталних субвенција јавним финансијским установама                                                               </t>
  </si>
  <si>
    <t xml:space="preserve">Обавезе по основу капиталних субвенција нбс                                                                 </t>
  </si>
  <si>
    <t xml:space="preserve">Обавезе по основу капиталних субвенција осталим домаћим јавним финансијским установама                                                             </t>
  </si>
  <si>
    <t xml:space="preserve">Обавезе по основу субвенција приватним предузећима                                                                 </t>
  </si>
  <si>
    <t xml:space="preserve">Обавезе по основу текућих субвенција приватним предузећима                                                                </t>
  </si>
  <si>
    <t xml:space="preserve">Обавезе по основу капиталних субвенција приватним предузећима                                                                </t>
  </si>
  <si>
    <t xml:space="preserve">Обавезе по основу донација, дотација и трансфера                                                                </t>
  </si>
  <si>
    <t xml:space="preserve">Обавезе по основу донација страним владама                                                                 </t>
  </si>
  <si>
    <t xml:space="preserve">Обавезе по основу текућих донација страним владама                                                                </t>
  </si>
  <si>
    <t xml:space="preserve">Обавезе по основу капиталних донација страним владама                                                                </t>
  </si>
  <si>
    <t xml:space="preserve">Обавезе по основу дотација међународним организацијама                                                                 </t>
  </si>
  <si>
    <t xml:space="preserve">Обавезе по основу текућих дотација међународним организацијама                                                                </t>
  </si>
  <si>
    <t xml:space="preserve">Обавезе по основу текућих дотација црвеном крсту                                                                </t>
  </si>
  <si>
    <t xml:space="preserve">Обавезе по основу текућих дотација за међународне чланарине                                                               </t>
  </si>
  <si>
    <t xml:space="preserve">Обавезе по основу текућих дотација осталим међународним организацијама                                                               </t>
  </si>
  <si>
    <t xml:space="preserve">Обавезе по основу капиталних дотација међународним организацијама                                                                </t>
  </si>
  <si>
    <t xml:space="preserve">Обавезе по основу капиталних дотација црвеном крсту                                                                </t>
  </si>
  <si>
    <t xml:space="preserve">Обавезе по основу капиталних дотација за међународне чланарине                                                               </t>
  </si>
  <si>
    <t xml:space="preserve">Обавезе по основу капиталних дотација осталим међународним организацијама                                                               </t>
  </si>
  <si>
    <t xml:space="preserve">Обавезе по основу трансфера осталим нивоима власти                                                                </t>
  </si>
  <si>
    <t xml:space="preserve">Обавезе по основу текућих трансфера осталим нивоима власти                                                               </t>
  </si>
  <si>
    <t xml:space="preserve">Обавезе по основу текућих трансфера нивоу републике                                                                </t>
  </si>
  <si>
    <t xml:space="preserve">Обавезе по основу текућих трансфера нивоу територијалних аутономија                                                               </t>
  </si>
  <si>
    <t xml:space="preserve">Обавезе по основу текућих трансфера нивоу градова                                                                </t>
  </si>
  <si>
    <t xml:space="preserve">Обавезе по основу текућих трансфера нивоу општина                                                                </t>
  </si>
  <si>
    <t xml:space="preserve">Обавезе по основу капиталних трансфера осталим нивоима власти                                                               </t>
  </si>
  <si>
    <t xml:space="preserve">Обавезе по основу капиталних трансфера нивоу републике                                                                </t>
  </si>
  <si>
    <t xml:space="preserve">Обавезе по основу капиталних трансфера нивоу територијалних аутономија                                                               </t>
  </si>
  <si>
    <t xml:space="preserve">Обавезе по основу капиталних трансфера нивоу градова                                                                </t>
  </si>
  <si>
    <t xml:space="preserve">Обавезе по основу капиталних трансфера нивоу општина                                                                </t>
  </si>
  <si>
    <t xml:space="preserve">Обавезе по основу дотација организацијама обавезног социјалног осигурања                                                               </t>
  </si>
  <si>
    <t xml:space="preserve">Обавезе по основу текућих дотација организацијама обавезног социјалног осигурања                                                              </t>
  </si>
  <si>
    <t xml:space="preserve">Обавезе по основу текућих дотација републичком фонду за здравствено осигурање                                                             </t>
  </si>
  <si>
    <t xml:space="preserve">Обавезе по основу текућих дотација републичком фонду за пио за осигуранике запослене                                                           </t>
  </si>
  <si>
    <t xml:space="preserve">Обавезе по основу текућих дотација републичком фонду за пио за осигуранике пољопривреднике                                                           </t>
  </si>
  <si>
    <t xml:space="preserve">Обавезе по основу текућих дотација републичком фонду за пио за осигуранике  самосталних делатности                                                         </t>
  </si>
  <si>
    <t xml:space="preserve">Обавезе по основу текућих дотација националној служби за запошљавање                                                              </t>
  </si>
  <si>
    <t xml:space="preserve">Обавезе по основу капиталних дотација организацијама обавезног социјалног осигурања                                                              </t>
  </si>
  <si>
    <t xml:space="preserve">Обавезе по основу капиталних дотација републичком фонду за здравствено осигурање                                                             </t>
  </si>
  <si>
    <t xml:space="preserve">Обавезе по основу капиталних дотација републичком фонду за пио                                                              </t>
  </si>
  <si>
    <t xml:space="preserve">Обавезе по основу капиталних дотација националној служби за запошљавање                                                              </t>
  </si>
  <si>
    <t xml:space="preserve">Обавезе за социјално осигурање                                                                   </t>
  </si>
  <si>
    <t xml:space="preserve">Обавезе по основу права из социјалног осигурања код организација обавезног социјалног осигурања                                                           </t>
  </si>
  <si>
    <t xml:space="preserve">Обавезе по основу социјалног осигурања које се исплаћује непосредно домаћинствима                                                             </t>
  </si>
  <si>
    <t xml:space="preserve">Обавезе по основу накнада зарада осигураницима услед привремене неспособности за рад                                                            </t>
  </si>
  <si>
    <t xml:space="preserve">Обавезе по основу права из пензијског осигурања                                                                </t>
  </si>
  <si>
    <t xml:space="preserve">Обавезе по основу накнада из инвалидског осигурања                                                                </t>
  </si>
  <si>
    <t xml:space="preserve">Обавезе по основу накнада које исплаћује национална служба за запошљавање                                                             </t>
  </si>
  <si>
    <t xml:space="preserve">Обавезе по основу осталих социјалних давања исплаћених непосредно домаћинствима                                                              </t>
  </si>
  <si>
    <t xml:space="preserve">Обавезе по основу права из социјалног осигурања исплаћених непосредно пружаоцима услуга                                                            </t>
  </si>
  <si>
    <t xml:space="preserve">Обавезе по основу трошкова здравствене заштите у земљи плаћених непосредно пружаоцима услуга                                                           </t>
  </si>
  <si>
    <t xml:space="preserve">Обавезе по основу услуга здравствене заштите у иностранству плаћених непосредно пружаоцима услуга                                                           </t>
  </si>
  <si>
    <t xml:space="preserve">Обавезе по основу бриге о пензионисаним лицима                                                                </t>
  </si>
  <si>
    <t xml:space="preserve">Обавезе по основу бриге о инвалидима                                                                 </t>
  </si>
  <si>
    <t xml:space="preserve">Обавезе по основу исплата послодавцима које врши национална служба за запошљавање                                                            </t>
  </si>
  <si>
    <t xml:space="preserve">Обавезе по основу пружања услуга обуке преко националне службе за запошљавање                                                            </t>
  </si>
  <si>
    <t xml:space="preserve">Обавезе по основу осталих права која се плаћају непосредно пружаоцима услуга                                                            </t>
  </si>
  <si>
    <t xml:space="preserve">Обавезе по основу дотација другим организацијама обавезног социјалног осигурања за доприносе за осигурање                                                          </t>
  </si>
  <si>
    <t xml:space="preserve">Обавезе по основу дотација републичком фонду за здравствено осигурање за доприносе за осигурање                                                          </t>
  </si>
  <si>
    <t xml:space="preserve">Обавезе по основу дотација републичком фонду за пио за осигуранике запослене за доприносе за осигурање                                                        </t>
  </si>
  <si>
    <t xml:space="preserve">Обавезе по основу дотација републичком фонду за пио за осигуранике пољопривреднике за доприносе за осигурање                                                        </t>
  </si>
  <si>
    <t xml:space="preserve">Обавезе по основу дотација републичком фонду за пио за осигуранике самосталних делатности за доприносе за осигурање                                                       </t>
  </si>
  <si>
    <t xml:space="preserve">Обавезе по основу дотација националној служби за запошљавање                                                               </t>
  </si>
  <si>
    <t xml:space="preserve">Обавезе по основу социјалне помоћи из буџета                                                                </t>
  </si>
  <si>
    <t xml:space="preserve">Обавезе по основу боловања и инвалиднина из буџета                                                               </t>
  </si>
  <si>
    <t xml:space="preserve">Боловање                                                                      </t>
  </si>
  <si>
    <t xml:space="preserve">Инвалиднине                                                                      </t>
  </si>
  <si>
    <t xml:space="preserve">Инвалиднине ратним инвалидима                                                                    </t>
  </si>
  <si>
    <t xml:space="preserve">Обавезе по основу накнада из буџета за породиљско боловање                                                              </t>
  </si>
  <si>
    <t xml:space="preserve">Обавезе по основу накнада из буџета за децу и породицу                                                             </t>
  </si>
  <si>
    <t xml:space="preserve">Обавезе по основу накнада из буџета за случај незапослености                                                              </t>
  </si>
  <si>
    <t xml:space="preserve">Обавезе по основу старосних и породичних пензија из буџета                                                              </t>
  </si>
  <si>
    <t xml:space="preserve">Обавезе по основу права из редовног пензијског осигурања из буџета                                                             </t>
  </si>
  <si>
    <t xml:space="preserve">Обавезе по основу права из коришћења породичних пензија, из буџета                                                             </t>
  </si>
  <si>
    <t xml:space="preserve">Обавезе по основу накнада из буџета за случај смрти                                                              </t>
  </si>
  <si>
    <t xml:space="preserve">Обавезе по основу накнада из буџета за образовање, културу, науку и спорт                                                           </t>
  </si>
  <si>
    <t xml:space="preserve">Обавезе по основу накнада за образовање                                                                 </t>
  </si>
  <si>
    <t xml:space="preserve">Обавезе по основу накнада за културу                                                                 </t>
  </si>
  <si>
    <t xml:space="preserve">Обавезе по основу накнада за науку                                                                 </t>
  </si>
  <si>
    <t xml:space="preserve">Обавезе по основу накнада за спорт                                                                 </t>
  </si>
  <si>
    <t xml:space="preserve">Обавезе по основу накнада из буџета за становање и живот                                                             </t>
  </si>
  <si>
    <t xml:space="preserve">Обавезе по основу осталих накнада из буџета                                                                </t>
  </si>
  <si>
    <t xml:space="preserve">Обавезе по основу накнада бившим политичким затвореницима                                                                </t>
  </si>
  <si>
    <t xml:space="preserve">Обавезе по основу накнада затвореницима                                                                  </t>
  </si>
  <si>
    <t xml:space="preserve">Обавезе по основу једнократне помоћи из буџета                                                                </t>
  </si>
  <si>
    <t xml:space="preserve">Обавезе за остале расходе                                                                   </t>
  </si>
  <si>
    <t xml:space="preserve">Обавезе по основу дотација невладиним организацијама                                                                 </t>
  </si>
  <si>
    <t xml:space="preserve">Обавезе по основу дотација непрофитним институцијама које пружају услуге домаћинствима                                                             </t>
  </si>
  <si>
    <t xml:space="preserve">Обавезе по основу неновчаних дотација непрофитним организацијама које пружају услуге домаћинствима                                                            </t>
  </si>
  <si>
    <t xml:space="preserve">Обавезе по основу дотација црвеном крсту србије                                                                </t>
  </si>
  <si>
    <t xml:space="preserve">Обавезе по основу дотација осталим непрофитним институцијама                                                                </t>
  </si>
  <si>
    <t xml:space="preserve">Обавезе по основу дотација спортским и омладинским организацијама                                                               </t>
  </si>
  <si>
    <t xml:space="preserve">Обавезе по основу дотација етничким заједницама и мањинама                                                               </t>
  </si>
  <si>
    <t xml:space="preserve">Обавезе по основу дотација верским заједницама                                                                 </t>
  </si>
  <si>
    <t xml:space="preserve">Обавезе по основу дотација осталим удружењима грађана и политичким странкама                                                             </t>
  </si>
  <si>
    <t xml:space="preserve">Обавезе по основу дотација привредној комори                                                                 </t>
  </si>
  <si>
    <t xml:space="preserve">Обавезе по основу дотација приватним и алтернативним школама                                                               </t>
  </si>
  <si>
    <t xml:space="preserve">Обавезе за остале порезе, обавезне таксе и казне                                                               </t>
  </si>
  <si>
    <t xml:space="preserve">Обавезе по основу осталих пореза                                                                  </t>
  </si>
  <si>
    <t xml:space="preserve">Обавезе по основу пореза на имовину                                                                 </t>
  </si>
  <si>
    <t xml:space="preserve">Обавезе по основу пореза на робе и услуге                                                               </t>
  </si>
  <si>
    <t xml:space="preserve">Обавезе по основу пореза на коришћење роба или обављање услуга                                                             </t>
  </si>
  <si>
    <t xml:space="preserve">Обавезе по основу пореза на међународну трговину                                                                </t>
  </si>
  <si>
    <t xml:space="preserve">Обавезе по основу других пореза                                                                  </t>
  </si>
  <si>
    <t xml:space="preserve">Обавезе по основу обавезних такси                                                                  </t>
  </si>
  <si>
    <t xml:space="preserve">Републичке таксе                                                                     </t>
  </si>
  <si>
    <t xml:space="preserve">Покрајинске таксе                                                                     </t>
  </si>
  <si>
    <t xml:space="preserve">Градске таксе                                                                     </t>
  </si>
  <si>
    <t xml:space="preserve">Општинске таксе                                                                     </t>
  </si>
  <si>
    <t xml:space="preserve">Судске таксе                                                                     </t>
  </si>
  <si>
    <t xml:space="preserve">Обавезе за новчане казне                                                                   </t>
  </si>
  <si>
    <t xml:space="preserve">Републичке казне                                                                     </t>
  </si>
  <si>
    <t xml:space="preserve">Покрајинске казне                                                                     </t>
  </si>
  <si>
    <t xml:space="preserve">Градске казне                                                                     </t>
  </si>
  <si>
    <t xml:space="preserve">Општинске казне                                                                     </t>
  </si>
  <si>
    <t xml:space="preserve">Обавезе за порез на додату вредност                                                                 </t>
  </si>
  <si>
    <t xml:space="preserve">Обавеза за порез на додату вредност по издатим фактурама по општој стопи (осим примљених аванса)                                                        </t>
  </si>
  <si>
    <t xml:space="preserve">Обавеза за порез на додату вредност по издатим фактурама по посебној стопи (осим примљених аванса)                                                        </t>
  </si>
  <si>
    <t xml:space="preserve">Обавеза за порез на додату вредност по примљеним авансима по општој стопи                                                           </t>
  </si>
  <si>
    <t xml:space="preserve">Обавеза за порез на додату вредност по примљеним авансима по посебној стопи                                                           </t>
  </si>
  <si>
    <t xml:space="preserve">Обавеза за порез на додату вредност по основу сопствене потрошње по општој стопи                                                          </t>
  </si>
  <si>
    <t xml:space="preserve">Обавеза за порез на додату вредност по основу сопствене потрошње по посебној стопи                                                          </t>
  </si>
  <si>
    <t xml:space="preserve">Обавеза за порез на додату вредност по основу продаје за готовину                                                            </t>
  </si>
  <si>
    <t xml:space="preserve">Обавеза по основу пдв надокнаде пољопривреднику                                                                 </t>
  </si>
  <si>
    <t xml:space="preserve">Обавеза за порез на додату вредност по основу разлике обрачунатог пореза на додату вредност и претходног пореза                                                      </t>
  </si>
  <si>
    <t xml:space="preserve">Обавезе по основу казни и пенала по решењима судова                                                              </t>
  </si>
  <si>
    <t xml:space="preserve">Обавезе по основу накнаде штете за повреде и штете услед елементарних непогода                                                           </t>
  </si>
  <si>
    <t xml:space="preserve">Обавезе по основу накнаде штете од дивљачи                                                                </t>
  </si>
  <si>
    <t xml:space="preserve">Обавезе по основу накнаде штете или повреда нанетих од стране државних органа                                                           </t>
  </si>
  <si>
    <t xml:space="preserve">Обавезе из пословања                                                                    </t>
  </si>
  <si>
    <t xml:space="preserve">Примљени аванси, депозити и кауције                                                                  </t>
  </si>
  <si>
    <t xml:space="preserve">Примљени аванси                                                                     </t>
  </si>
  <si>
    <t xml:space="preserve">Примљени депозити                                                                     </t>
  </si>
  <si>
    <t xml:space="preserve">Примљени судски депозити                                                                    </t>
  </si>
  <si>
    <t xml:space="preserve">Примљени остали депозити                                                                    </t>
  </si>
  <si>
    <t xml:space="preserve">Примљене кауције                                                                     </t>
  </si>
  <si>
    <t xml:space="preserve">Обавезе према добављачима                                                                    </t>
  </si>
  <si>
    <t xml:space="preserve">Добављачи у земљи                                                                    </t>
  </si>
  <si>
    <t xml:space="preserve">Добављачи у иностранству                                                                    </t>
  </si>
  <si>
    <t xml:space="preserve">Обавезе за издате чекове и обвезнице                                                                 </t>
  </si>
  <si>
    <t xml:space="preserve">Обавезе за издате чекове                                                                   </t>
  </si>
  <si>
    <t xml:space="preserve">Обавезе за издате обвезнице                                                                   </t>
  </si>
  <si>
    <t xml:space="preserve">Остале обавезе                                                                     </t>
  </si>
  <si>
    <t xml:space="preserve">Обавезе из односа буџета и буџетских корисника                                                                </t>
  </si>
  <si>
    <t xml:space="preserve">Обавезе према буџету                                                                    </t>
  </si>
  <si>
    <t xml:space="preserve">Обавезе према буџетским корисницима                                                                   </t>
  </si>
  <si>
    <t xml:space="preserve">Обавезе за преузете обавезе из односа буџета и буџетских корисника                                                             </t>
  </si>
  <si>
    <t xml:space="preserve">Oбавезе према  јавним предузећима                                                                  </t>
  </si>
  <si>
    <t xml:space="preserve">Остале обавезе буџета                                                                    </t>
  </si>
  <si>
    <t xml:space="preserve">Остале обавезе из пословања                                                                   </t>
  </si>
  <si>
    <t xml:space="preserve">Обавезе према запосленима                                                                    </t>
  </si>
  <si>
    <t xml:space="preserve">Обавезе по судским и административним забранама                                                                 </t>
  </si>
  <si>
    <t xml:space="preserve">Обавезе за синдикалне чланарине                                                                   </t>
  </si>
  <si>
    <t xml:space="preserve">Обавезе за неисплаћене плате                                                                   </t>
  </si>
  <si>
    <t xml:space="preserve">Обавезе према члановима управног и надзорног одбора и комисија                                                              </t>
  </si>
  <si>
    <t xml:space="preserve">Обавезе према члановима управног и надзорног одбора                                                                </t>
  </si>
  <si>
    <t xml:space="preserve">Обавезе према члановима комисија                                                                   </t>
  </si>
  <si>
    <t xml:space="preserve">Обавезе по упутницама                                                                    </t>
  </si>
  <si>
    <t xml:space="preserve">Обавезе за враћене упутнице                                                                   </t>
  </si>
  <si>
    <t xml:space="preserve">Пасивна временска разграничења                                                                    </t>
  </si>
  <si>
    <t xml:space="preserve">Разграничени приходи и примања                                                                   </t>
  </si>
  <si>
    <t xml:space="preserve">Разграничени приходи из донација                                                                   </t>
  </si>
  <si>
    <t xml:space="preserve">Разграничени остали приходи и примања                                                                  </t>
  </si>
  <si>
    <t xml:space="preserve">Разграничени плаћени расходи и издаци                                                                  </t>
  </si>
  <si>
    <t xml:space="preserve">Плаћени аванси                                                                     </t>
  </si>
  <si>
    <t xml:space="preserve">Плаћени аванси за набавку материјала                                                                  </t>
  </si>
  <si>
    <t xml:space="preserve">Плаћени аванси за нематеријална улагања и основна средства                                                               </t>
  </si>
  <si>
    <t xml:space="preserve">Плаћени аванси за куповину услуга                                                                  </t>
  </si>
  <si>
    <t xml:space="preserve">Аконтације за пословна путовања                                                                   </t>
  </si>
  <si>
    <t xml:space="preserve">Обрачунати ненаплаћени приходи и примања                                                                  </t>
  </si>
  <si>
    <t xml:space="preserve">Обрачунати ненаплаћени приходи                                                                    </t>
  </si>
  <si>
    <t xml:space="preserve">Обрачуната ненаплаћена примања из продаје нефинансијске имовине                                                                </t>
  </si>
  <si>
    <t xml:space="preserve">Остала пасивна временска разграничења                                                                   </t>
  </si>
  <si>
    <t xml:space="preserve">Обавезе фондова за исплаћене обавезе по основу накнада запосленима                                                              </t>
  </si>
  <si>
    <t xml:space="preserve">Капитал, утврђивање резултата пословања и ванбилансна евиденција                                                                </t>
  </si>
  <si>
    <t xml:space="preserve">Капитал                                                                      </t>
  </si>
  <si>
    <t xml:space="preserve">Основна средства                                                                     </t>
  </si>
  <si>
    <t xml:space="preserve">Природна богатства                                                                     </t>
  </si>
  <si>
    <t xml:space="preserve">Залихе робних резерви                                                                    </t>
  </si>
  <si>
    <t xml:space="preserve">Залихе материјала за производњу                                                                   </t>
  </si>
  <si>
    <t xml:space="preserve">Залихе недовршене производње                                                                    </t>
  </si>
  <si>
    <t xml:space="preserve">Залихе готових производа                                                                    </t>
  </si>
  <si>
    <t xml:space="preserve">Залихе робе за даљу продају                                                                  </t>
  </si>
  <si>
    <t xml:space="preserve">Исправка вредности сопствених извора нефинансијске имовине, у сталним средствима, за набавке из кредита                                                          </t>
  </si>
  <si>
    <t xml:space="preserve">Дугорочна финансијска  имовина у страним владама, компанијама, организацијама  и институцијама                                                           </t>
  </si>
  <si>
    <t xml:space="preserve">Остала финансијска имовина                                                                    </t>
  </si>
  <si>
    <t xml:space="preserve">Извори новчаних средстава                                                                    </t>
  </si>
  <si>
    <t xml:space="preserve">Примања од продаје финансијске имовине                                                                  </t>
  </si>
  <si>
    <t xml:space="preserve">Примања од отплате датих кредита                                                                  </t>
  </si>
  <si>
    <t xml:space="preserve">Примања од продаје стране валуте                                                                  </t>
  </si>
  <si>
    <t xml:space="preserve">Остали извори новчаних средстава                                                                   </t>
  </si>
  <si>
    <t xml:space="preserve">Утрошена средства текућих прихода и примања од продаје нефинансијске имовине                                                             </t>
  </si>
  <si>
    <t xml:space="preserve">Утрошена средства текућих прихода и примања од продаје нефинансијске имовине у току једне године                                                         </t>
  </si>
  <si>
    <t xml:space="preserve">Утрошена средства текућих прихода и примања од продаје нефинансијске имовине за отплату обавеза по кредитима                                                        </t>
  </si>
  <si>
    <t xml:space="preserve">Утрошена средства текућих прихода и примања од продаје нефинансијске имовине за набавку финансијске имовине                                                         </t>
  </si>
  <si>
    <t xml:space="preserve">Пренета неутрошена средства из ранијих година                                                                 </t>
  </si>
  <si>
    <t xml:space="preserve">Пренета неутрошена средства од приватизације                                                                  </t>
  </si>
  <si>
    <t xml:space="preserve">Пренета неутрошена средства за посебне намене                                                                 </t>
  </si>
  <si>
    <t xml:space="preserve">Пренета неутрошена средства за стамбену изградњу                                                                 </t>
  </si>
  <si>
    <t xml:space="preserve">Остали сопствени извори                                                                    </t>
  </si>
  <si>
    <t xml:space="preserve">Утврђивање резултата пословања                                                                    </t>
  </si>
  <si>
    <t xml:space="preserve">Обрачун прихода и примања и расхода и издатака пословања                                                              </t>
  </si>
  <si>
    <t xml:space="preserve">Вишак или мањак прихода и примања                                                                 </t>
  </si>
  <si>
    <t xml:space="preserve">Вишак прихода и примања– суфицит                                                                  </t>
  </si>
  <si>
    <t xml:space="preserve">Мањак прихода и примања– дефицит                                                                  </t>
  </si>
  <si>
    <t xml:space="preserve">Распоред вишка прихода и примања                                                                  </t>
  </si>
  <si>
    <t xml:space="preserve">Нераспоређени вишак прихода и примања или дефицит из ранијих година                                                             </t>
  </si>
  <si>
    <t xml:space="preserve">Нераспоређени вишак прихода и примања из ранијих година                                                               </t>
  </si>
  <si>
    <t xml:space="preserve">Дефицит из ранијих година                                                                   </t>
  </si>
  <si>
    <t xml:space="preserve">Добити које су резултат промене вредности                                                                 </t>
  </si>
  <si>
    <t xml:space="preserve">Добити које су резултат промене вредности пословних зграда и других објеката                                                            </t>
  </si>
  <si>
    <t xml:space="preserve">Добити које су резултат промене вредности опреме                                                                </t>
  </si>
  <si>
    <t xml:space="preserve">Добити који су резултат промене вредности култивисане имовине                                                               </t>
  </si>
  <si>
    <t xml:space="preserve">Добити које су резултат промене вредности природног богатства                                                               </t>
  </si>
  <si>
    <t xml:space="preserve">Добити које су резултат промене вредности природне имовине                                                               </t>
  </si>
  <si>
    <t xml:space="preserve">Добити које су резултат промене вредности нематеријалних основних средстава                                                              </t>
  </si>
  <si>
    <t xml:space="preserve">Добити које су резултат промене вредности залиха                                                                </t>
  </si>
  <si>
    <t xml:space="preserve">Друге промене у обиму                                                                   </t>
  </si>
  <si>
    <t xml:space="preserve">Друге промене у обиму пословних зграда и других објеката                                                              </t>
  </si>
  <si>
    <t xml:space="preserve">Друге промене у обиму опреме                                                                  </t>
  </si>
  <si>
    <t xml:space="preserve">Друге промене у обиму природних богатстава                                                                 </t>
  </si>
  <si>
    <t xml:space="preserve">Друге промене у обиму залиха                                                                  </t>
  </si>
  <si>
    <t xml:space="preserve">Ванбилансна евиденција                                                                     </t>
  </si>
  <si>
    <t xml:space="preserve">Ванбилансна актива                                                                     </t>
  </si>
  <si>
    <t xml:space="preserve">Основна средства у закупу                                                                   </t>
  </si>
  <si>
    <t xml:space="preserve">Примљена туђа роба и материјал                                                                  </t>
  </si>
  <si>
    <t xml:space="preserve">Примљена роба у јавном складишту                                                                  </t>
  </si>
  <si>
    <t xml:space="preserve">Примљена роба у комисион                                                                   </t>
  </si>
  <si>
    <t xml:space="preserve">Примљен материјал на обраду и дораду                                                                 </t>
  </si>
  <si>
    <t xml:space="preserve">Хартије од вредности ван промета                                                                  </t>
  </si>
  <si>
    <t xml:space="preserve">Авали и друге гаранције                                                                   </t>
  </si>
  <si>
    <t xml:space="preserve">Остала ванбилансна актива                                                                    </t>
  </si>
  <si>
    <t xml:space="preserve">Ванбилансна пасива                                                                     </t>
  </si>
  <si>
    <t xml:space="preserve">Обавезе за основна средства у закупу                                                                 </t>
  </si>
  <si>
    <t xml:space="preserve">Обавезе за примљену туђу робу и материјал                                                                </t>
  </si>
  <si>
    <t xml:space="preserve">Обавезе за робу у јавном складишту                                                                 </t>
  </si>
  <si>
    <t xml:space="preserve">Обавезе за робу у комисиону                                                                  </t>
  </si>
  <si>
    <t xml:space="preserve">Обавезе за материјале примљене на обраду и дораду                                                               </t>
  </si>
  <si>
    <t xml:space="preserve">Обавезе за хартије од вредности ван промета                                                                </t>
  </si>
  <si>
    <t xml:space="preserve">Обавезе за авале и остале гаранције                                                                 </t>
  </si>
  <si>
    <t xml:space="preserve">Остала ванбилансна пасива                                                                    </t>
  </si>
  <si>
    <t xml:space="preserve">Текући расходи                                                                     </t>
  </si>
  <si>
    <t xml:space="preserve">Расходи за запослене                                                                    </t>
  </si>
  <si>
    <t xml:space="preserve">Плате, додаци и накнаде запослених (зараде)                                                                 </t>
  </si>
  <si>
    <t xml:space="preserve">Плате, додаци и накнаде запослених                                                                  </t>
  </si>
  <si>
    <t xml:space="preserve">Плате по основу цене рада                                                                  </t>
  </si>
  <si>
    <t xml:space="preserve">Додатак за рад дужи од пуног радног времена                                                               </t>
  </si>
  <si>
    <t xml:space="preserve">Додатак за рад на дан државног и верског празника                                                              </t>
  </si>
  <si>
    <t xml:space="preserve">Додатак за рад ноћу                                                                   </t>
  </si>
  <si>
    <t xml:space="preserve">Додатак за време проведено на раду (минули рад)                                                               </t>
  </si>
  <si>
    <t xml:space="preserve">Теренски додатак                                                                     </t>
  </si>
  <si>
    <t xml:space="preserve">Накнада зараде за време привремене спречености за рад до 30 дана услед болести                                                          </t>
  </si>
  <si>
    <t xml:space="preserve">Накнада зараде за време одсуствовања са рада на дан празника који је нерадни дан, годишњег одмора, плаћеног одсуства, војне вежбе и одазивања на позив државног органа                                             </t>
  </si>
  <si>
    <t xml:space="preserve">Остали додаци и накнаде запосленима                                                                  </t>
  </si>
  <si>
    <t xml:space="preserve">Плате приправника                                                                     </t>
  </si>
  <si>
    <t xml:space="preserve">Плате приправника које плаћа послодавац                                                                  </t>
  </si>
  <si>
    <t xml:space="preserve">Плате приправника које плаћа национална служба за запошљавање                                                               </t>
  </si>
  <si>
    <t xml:space="preserve">Плате привремено запослених                                                                    </t>
  </si>
  <si>
    <t xml:space="preserve">Плате по основу судских пресуда                                                                  </t>
  </si>
  <si>
    <t xml:space="preserve">Накнада штете запослених                                                                    </t>
  </si>
  <si>
    <t xml:space="preserve">Накнада штете запосленом за неискоришћени годишњи одмор                                                                </t>
  </si>
  <si>
    <t xml:space="preserve">Остале накнаде штете запосленом                                                                   </t>
  </si>
  <si>
    <t xml:space="preserve">Остале исплате зарада за специјалне задатке или пројекте                                                               </t>
  </si>
  <si>
    <t xml:space="preserve">Социјални доприноси на терет послодавца                                                                  </t>
  </si>
  <si>
    <t xml:space="preserve">Допринос за пензијско и инвалидско осигурање                                                                 </t>
  </si>
  <si>
    <t xml:space="preserve">Допринос за добровољно пензијско и инвалидско осигурање                                                                </t>
  </si>
  <si>
    <t xml:space="preserve">Допринос за пензијско и инвалидско осигурање – за радни стаж који се рачуна са увећаним доприносом                                                       </t>
  </si>
  <si>
    <t xml:space="preserve">Допринос за здравствено осигурање                                                                   </t>
  </si>
  <si>
    <t xml:space="preserve">Допринос за добровољно здравствено осигурање                                                                  </t>
  </si>
  <si>
    <t xml:space="preserve">Допринос за незапосленост                                                                    </t>
  </si>
  <si>
    <t xml:space="preserve">Накнаде у натури                                                                    </t>
  </si>
  <si>
    <t xml:space="preserve">Оброци (храна)                                                                     </t>
  </si>
  <si>
    <t xml:space="preserve">Пиће                                                                      </t>
  </si>
  <si>
    <t xml:space="preserve">Остале накнаде у натури у смислу заштите здравља запослених                                                              </t>
  </si>
  <si>
    <t xml:space="preserve">Обезбеђивање стамбеног простора запосленима                                                                   </t>
  </si>
  <si>
    <t xml:space="preserve">Дуготрајна роба                                                                     </t>
  </si>
  <si>
    <t xml:space="preserve">Возила за приватне и пословне потребе                                                                 </t>
  </si>
  <si>
    <t xml:space="preserve">Остала дуготрајна роба                                                                    </t>
  </si>
  <si>
    <t xml:space="preserve">Роба и услуге које обезбеђује послодавац                                                                 </t>
  </si>
  <si>
    <t xml:space="preserve">Одмаралишта, спортски и рекреациони објекти                                                                  </t>
  </si>
  <si>
    <t xml:space="preserve">Поклони за децу запослених                                                                   </t>
  </si>
  <si>
    <t xml:space="preserve">Превоз на посао и са посла (маркица)                                                                </t>
  </si>
  <si>
    <t xml:space="preserve">Паркирање                                                                      </t>
  </si>
  <si>
    <t xml:space="preserve">Дечији вртић који плаћа послодавац                                                                  </t>
  </si>
  <si>
    <t xml:space="preserve">Износ разлике између редовне и снижене каматне стопе код давања кредита запосленима                                                           </t>
  </si>
  <si>
    <t xml:space="preserve">Социјална давања запосленима                                                                    </t>
  </si>
  <si>
    <t xml:space="preserve">Исплата накнада за време одсуствовања с посла на терет фондова                                                             </t>
  </si>
  <si>
    <t xml:space="preserve">Породиљско боловање                                                                     </t>
  </si>
  <si>
    <t xml:space="preserve">Боловање преко 30 дана                                                                   </t>
  </si>
  <si>
    <t xml:space="preserve">Инвалидност рада другог степена                                                                   </t>
  </si>
  <si>
    <t xml:space="preserve">Расходи за образовање деце запослених                                                                  </t>
  </si>
  <si>
    <t xml:space="preserve">Отпремнине и помоћи                                                                    </t>
  </si>
  <si>
    <t xml:space="preserve">Отпремнина приликом одласка у пензију                                                                  </t>
  </si>
  <si>
    <t xml:space="preserve">Отпремнина у случају отпуштања с посла                                                                 </t>
  </si>
  <si>
    <t xml:space="preserve">Помоћ у случају смрти запосленог или члана уже породице                                                              </t>
  </si>
  <si>
    <t xml:space="preserve">Помоћ у медицинском лечењу запосленог или чланова уже породице и друге помоћи запосленом                                                          </t>
  </si>
  <si>
    <t xml:space="preserve">Помоћ у медицинском лечењу запосленог или члана уже породице                                                              </t>
  </si>
  <si>
    <t xml:space="preserve">Помоћ у случају оштећења или уништења имовине                                                                </t>
  </si>
  <si>
    <t xml:space="preserve">Остале помоћи запосленим радницима                                                                   </t>
  </si>
  <si>
    <t xml:space="preserve">Накнаде трошкова за запослене                                                                   </t>
  </si>
  <si>
    <t xml:space="preserve">Накнаде трошкова за одвојен живот од породице                                                                </t>
  </si>
  <si>
    <t xml:space="preserve">Накнаде трошкова за превоз на посао и са посла                                                              </t>
  </si>
  <si>
    <t xml:space="preserve">Накнаде трошкова за смештај изабраних, постављених и именованих лица                                                              </t>
  </si>
  <si>
    <t xml:space="preserve">Накнаде за селидбене трошкове запослених                                                                  </t>
  </si>
  <si>
    <t xml:space="preserve">Остале накнаде трошкова запослених                                                                   </t>
  </si>
  <si>
    <t xml:space="preserve">Награде запосленима и остали посебни расходи                                                                 </t>
  </si>
  <si>
    <t xml:space="preserve">Награде запосленима                                                                     </t>
  </si>
  <si>
    <t xml:space="preserve">Јубиларне награде                                                                     </t>
  </si>
  <si>
    <t xml:space="preserve">Награде за посебне резултате рада                                                                  </t>
  </si>
  <si>
    <t xml:space="preserve">Остале награде запосленима                                                                    </t>
  </si>
  <si>
    <t xml:space="preserve">Бонуси                                                                      </t>
  </si>
  <si>
    <t xml:space="preserve">Бонуси за државне празнике                                                                   </t>
  </si>
  <si>
    <t xml:space="preserve">Накнаде члановима управних, надзорних одбора и комисија                                                                </t>
  </si>
  <si>
    <t xml:space="preserve">Накнаде члановима управних и надзорних одбора                                                                 </t>
  </si>
  <si>
    <t xml:space="preserve">Накнаде члановима комисија                                                                    </t>
  </si>
  <si>
    <t xml:space="preserve">Посланички додатак                                                                     </t>
  </si>
  <si>
    <t xml:space="preserve">Судијски додатак                                                                     </t>
  </si>
  <si>
    <t xml:space="preserve">Коришћење услуга и роба                                                                   </t>
  </si>
  <si>
    <t xml:space="preserve">Стални трошкови                                                                     </t>
  </si>
  <si>
    <t xml:space="preserve">Трошкови платног промета и банкарских услуга                                                                 </t>
  </si>
  <si>
    <t xml:space="preserve">Трошкови платног промета                                                                    </t>
  </si>
  <si>
    <t xml:space="preserve">Трошкови банкарских услуга                                                                    </t>
  </si>
  <si>
    <t xml:space="preserve">Енергетске услуге                                                                     </t>
  </si>
  <si>
    <t xml:space="preserve">Услуге за електричну енергију                                                                   </t>
  </si>
  <si>
    <t xml:space="preserve">Трошкови грејања                                                                     </t>
  </si>
  <si>
    <t xml:space="preserve">Природни гас                                                                     </t>
  </si>
  <si>
    <t xml:space="preserve">Угаљ                                                                      </t>
  </si>
  <si>
    <t xml:space="preserve">Дрво                                                                      </t>
  </si>
  <si>
    <t xml:space="preserve">Лож-Уље                                                                      </t>
  </si>
  <si>
    <t xml:space="preserve">Централно грејање                                                                     </t>
  </si>
  <si>
    <t xml:space="preserve">Комуналне услуге                                                                     </t>
  </si>
  <si>
    <t xml:space="preserve">Услуге водовода и канализације                                                                   </t>
  </si>
  <si>
    <t xml:space="preserve">Услуге редовног одржавања и старања                                                                  </t>
  </si>
  <si>
    <t xml:space="preserve">Дератизација                                                                      </t>
  </si>
  <si>
    <t xml:space="preserve">Димњачарске услуге                                                                     </t>
  </si>
  <si>
    <t xml:space="preserve">Услуга заштите имовине                                                                    </t>
  </si>
  <si>
    <t xml:space="preserve">Одвоз отпада                                                                     </t>
  </si>
  <si>
    <t xml:space="preserve">Услуге чишћења                                                                     </t>
  </si>
  <si>
    <t xml:space="preserve">Остале комуналне услуге                                                                    </t>
  </si>
  <si>
    <t xml:space="preserve">Допринос за коришћење градског земљишта и слично                                                                </t>
  </si>
  <si>
    <t xml:space="preserve">Допринос за коришћење вода                                                                   </t>
  </si>
  <si>
    <t xml:space="preserve">Услуге комуникација                                                                     </t>
  </si>
  <si>
    <t xml:space="preserve">Телефони                                                                      </t>
  </si>
  <si>
    <t xml:space="preserve">Телефон, телекс и телефакс                                                                   </t>
  </si>
  <si>
    <t xml:space="preserve">Интернет и слично                                                                    </t>
  </si>
  <si>
    <t xml:space="preserve">Претплата на пејџер                                                                    </t>
  </si>
  <si>
    <t xml:space="preserve">Услуге мобилног телефона                                                                    </t>
  </si>
  <si>
    <t xml:space="preserve">Остале услуге комуникације                                                                    </t>
  </si>
  <si>
    <t xml:space="preserve">Услуге поште и доставе                                                                   </t>
  </si>
  <si>
    <t xml:space="preserve">Пошта                                                                      </t>
  </si>
  <si>
    <t xml:space="preserve">Услуге доставе                                                                     </t>
  </si>
  <si>
    <t xml:space="preserve">Остале птт услуге                                                                    </t>
  </si>
  <si>
    <t xml:space="preserve">Трошкови осигурања                                                                     </t>
  </si>
  <si>
    <t xml:space="preserve">Осигурање имовине                                                                     </t>
  </si>
  <si>
    <t xml:space="preserve">Осигурање зграда                                                                     </t>
  </si>
  <si>
    <t xml:space="preserve">Осигурање возила                                                                     </t>
  </si>
  <si>
    <t xml:space="preserve">Осигурање опреме                                                                     </t>
  </si>
  <si>
    <t xml:space="preserve">Осигурање остале дугорочне имовине                                                                   </t>
  </si>
  <si>
    <t xml:space="preserve">Осигурање запослених                                                                     </t>
  </si>
  <si>
    <t xml:space="preserve">Осигурање запослених у случају несреће на раду                                                                </t>
  </si>
  <si>
    <t xml:space="preserve">Здравствено осигурање запослених                                                                    </t>
  </si>
  <si>
    <t xml:space="preserve">Осигурање од одговорности према трећим лицима                                                                 </t>
  </si>
  <si>
    <t xml:space="preserve">Закуп имовине и опреме                                                                   </t>
  </si>
  <si>
    <t xml:space="preserve">Закуп имовине                                                                     </t>
  </si>
  <si>
    <t xml:space="preserve">Закуп стамбеног простора                                                                    </t>
  </si>
  <si>
    <t xml:space="preserve">Закуп нестамбеног простора                                                                    </t>
  </si>
  <si>
    <t xml:space="preserve">Закуп осталог простора                                                                    </t>
  </si>
  <si>
    <t xml:space="preserve">Закуп опреме                                                                     </t>
  </si>
  <si>
    <t xml:space="preserve">Закуп опреме за саобраћај                                                                   </t>
  </si>
  <si>
    <t xml:space="preserve">Закуп административне опреме                                                                    </t>
  </si>
  <si>
    <t xml:space="preserve">Закуп опреме за пољопривреду                                                                   </t>
  </si>
  <si>
    <t xml:space="preserve">Закуп опреме за очување животне средине и науку                                                               </t>
  </si>
  <si>
    <t xml:space="preserve">Закуп медицинске и лабораторијске опреме                                                                  </t>
  </si>
  <si>
    <t xml:space="preserve">Закуп опреме за образовање, културу и спорт                                                                </t>
  </si>
  <si>
    <t xml:space="preserve">Закуп опреме за војску                                                                   </t>
  </si>
  <si>
    <t xml:space="preserve">Закуп опреме за јавну безбедност                                                                  </t>
  </si>
  <si>
    <t xml:space="preserve">Закуп опреме за производњу, моторна, непокретна и немоторна                                                               </t>
  </si>
  <si>
    <t xml:space="preserve">Остали трошкови                                                                     </t>
  </si>
  <si>
    <t xml:space="preserve">Радио – телевизијска претплата                                                                   </t>
  </si>
  <si>
    <t xml:space="preserve">Остали непоменути трошкови                                                                    </t>
  </si>
  <si>
    <t xml:space="preserve">Трошкови путовања                                                                     </t>
  </si>
  <si>
    <t xml:space="preserve">Трошкови службених путовања у земљи                                                                  </t>
  </si>
  <si>
    <t xml:space="preserve">Трошкови дневница (исхране) на службеном путу                                                                 </t>
  </si>
  <si>
    <t xml:space="preserve">Трошкови превоза на службеном путу у земљи (авион, аутобус, воз, и сл.)                                                           </t>
  </si>
  <si>
    <t xml:space="preserve">Трошкови смештаја на службеном путу                                                                  </t>
  </si>
  <si>
    <t xml:space="preserve">Остале услуге службеног превоза                                                                   </t>
  </si>
  <si>
    <t xml:space="preserve">Превоз у јавном саобраћају                                                                   </t>
  </si>
  <si>
    <t xml:space="preserve">Такси превоз                                                                     </t>
  </si>
  <si>
    <t xml:space="preserve">Превоз у граду по службеном послу                                                                 </t>
  </si>
  <si>
    <t xml:space="preserve">Накнада за употребу сопственог возила                                                                  </t>
  </si>
  <si>
    <t xml:space="preserve">Остали трошкови за пословна путовања у земљи                                                                </t>
  </si>
  <si>
    <t xml:space="preserve">Трошкови службених путовања у иностранство                                                                  </t>
  </si>
  <si>
    <t xml:space="preserve">Трошкови дневница за службени пут у иностранство                                                                </t>
  </si>
  <si>
    <t xml:space="preserve">Трошкови превоза за службени пут у иностранство (авион, аутобус, воз и сл.)                                                           </t>
  </si>
  <si>
    <t xml:space="preserve">Трошкови смештаја на службеном путу у иностранство                                                                </t>
  </si>
  <si>
    <t xml:space="preserve">Услуге превоза у јавном саобраћају                                                                  </t>
  </si>
  <si>
    <t xml:space="preserve">Остали трошкови за пословна путовања у иностранство                                                                </t>
  </si>
  <si>
    <t xml:space="preserve">Трошкови путовања у оквиру редовног рада                                                                 </t>
  </si>
  <si>
    <t xml:space="preserve">Дневница (исхрана) за путовање у оквиру редовног рада                                                               </t>
  </si>
  <si>
    <t xml:space="preserve">Трошкови путовања у оквиру редовног рада (авион, аутобус, воз)                                                              </t>
  </si>
  <si>
    <t xml:space="preserve">Трошкови смештаја на путовању у оквиру редовног рада                                                               </t>
  </si>
  <si>
    <t xml:space="preserve">Остале услуге путовања у оквиру редовног рада                                                                </t>
  </si>
  <si>
    <t xml:space="preserve">Превоз средствима јавног превоза                                                                   </t>
  </si>
  <si>
    <t xml:space="preserve">Накнада за превоз у граду по службеном послу                                                               </t>
  </si>
  <si>
    <t xml:space="preserve">Накнада за коришћење сопственог аутомобила                                                                  </t>
  </si>
  <si>
    <t xml:space="preserve">Остали трошкови превоза у оквиру редовног рада                                                                </t>
  </si>
  <si>
    <t xml:space="preserve">Трошкови путовања ученика                                                                    </t>
  </si>
  <si>
    <t xml:space="preserve">Превоз ученика                                                                     </t>
  </si>
  <si>
    <t xml:space="preserve">Трошкови путовања ученика који учествују на републичким и међународним такмичењима                                                             </t>
  </si>
  <si>
    <t xml:space="preserve">Остали трошкови транспорта                                                                    </t>
  </si>
  <si>
    <t xml:space="preserve">Трошкови селидбе и превоза                                                                   </t>
  </si>
  <si>
    <t xml:space="preserve">Услуге по уговору                                                                    </t>
  </si>
  <si>
    <t xml:space="preserve">Административне услуге                                                                     </t>
  </si>
  <si>
    <t xml:space="preserve">Услуге превођења                                                                     </t>
  </si>
  <si>
    <t xml:space="preserve">Секретарске услуге                                                                     </t>
  </si>
  <si>
    <t xml:space="preserve">Рачуноводствене услуге                                                                     </t>
  </si>
  <si>
    <t xml:space="preserve">Остале административне услуге                                                                    </t>
  </si>
  <si>
    <t xml:space="preserve">Компјутерске услуге                                                                     </t>
  </si>
  <si>
    <t xml:space="preserve">Услуге за израду и одржавање софтвера                                                                 </t>
  </si>
  <si>
    <t xml:space="preserve">Услуге за израду софтвера                                                                   </t>
  </si>
  <si>
    <t xml:space="preserve">Услуге за одржавање софтвера                                                                   </t>
  </si>
  <si>
    <t xml:space="preserve">Услуге одржавања рачунара                                                                    </t>
  </si>
  <si>
    <t xml:space="preserve">Остале компјутерске услуге                                                                    </t>
  </si>
  <si>
    <t xml:space="preserve">Услуге образовања и усавршавања запослених                                                                  </t>
  </si>
  <si>
    <t xml:space="preserve">Котизације                                                                      </t>
  </si>
  <si>
    <t xml:space="preserve">Котизација за семинаре                                                                    </t>
  </si>
  <si>
    <t xml:space="preserve">Котизација за стручна саветовања                                                                   </t>
  </si>
  <si>
    <t xml:space="preserve">Котизација за учествовање на сајмовима                                                                  </t>
  </si>
  <si>
    <t xml:space="preserve">Друге услуге образовања и усавршавања запослених                                                                 </t>
  </si>
  <si>
    <t xml:space="preserve">Издаци за стручне испите                                                                   </t>
  </si>
  <si>
    <t xml:space="preserve">Остали издаци за стручно образовање                                                                  </t>
  </si>
  <si>
    <t xml:space="preserve">Услуге информисања                                                                     </t>
  </si>
  <si>
    <t xml:space="preserve">Услуге штампања                                                                     </t>
  </si>
  <si>
    <t xml:space="preserve">Услуге штампања билтена                                                                    </t>
  </si>
  <si>
    <t xml:space="preserve">Услуге штампања часописа                                                                    </t>
  </si>
  <si>
    <t xml:space="preserve">Услуге штампања публикација                                                                    </t>
  </si>
  <si>
    <t xml:space="preserve">Остале услуге штампања                                                                    </t>
  </si>
  <si>
    <t xml:space="preserve">Услуге информисања јавности и односа са јавношћу                                                                </t>
  </si>
  <si>
    <t xml:space="preserve">Услуге информисања јавности                                                                    </t>
  </si>
  <si>
    <t xml:space="preserve">Односи са јавношћу                                                                    </t>
  </si>
  <si>
    <t xml:space="preserve">Услуге рекламе и пропаганде                                                                   </t>
  </si>
  <si>
    <t xml:space="preserve">Објављивање тендера и информативних огласа                                                                  </t>
  </si>
  <si>
    <t xml:space="preserve">Остале услуге рекламе и пропаганде                                                                  </t>
  </si>
  <si>
    <t xml:space="preserve">Медијске услуге                                                                     </t>
  </si>
  <si>
    <t xml:space="preserve">Медијске услуге радија и телевизије                                                                  </t>
  </si>
  <si>
    <t xml:space="preserve">Остале медијске услуге                                                                    </t>
  </si>
  <si>
    <t xml:space="preserve">Стручне услуге                                                                     </t>
  </si>
  <si>
    <t xml:space="preserve">Услуге ревизије                                                                     </t>
  </si>
  <si>
    <t xml:space="preserve">Адвокатске услуге                                                                     </t>
  </si>
  <si>
    <t xml:space="preserve">Правно заступање пред домаћим судовима                                                                  </t>
  </si>
  <si>
    <t xml:space="preserve">Правно заступање пред међународним судовима                                                                  </t>
  </si>
  <si>
    <t xml:space="preserve">Правне услуге                                                                     </t>
  </si>
  <si>
    <t xml:space="preserve">Услуге вештачења                                                                     </t>
  </si>
  <si>
    <t xml:space="preserve">Услуге поротника                                                                     </t>
  </si>
  <si>
    <t xml:space="preserve">Остале правне услуге                                                                    </t>
  </si>
  <si>
    <t xml:space="preserve">Финансијске услуге                                                                     </t>
  </si>
  <si>
    <t xml:space="preserve">Услуге финансијских саветника                                                                    </t>
  </si>
  <si>
    <t xml:space="preserve">Остале финансијске услуге                                                                    </t>
  </si>
  <si>
    <t xml:space="preserve">Остале стручне услуге                                                                    </t>
  </si>
  <si>
    <t xml:space="preserve">Услуге за домаћинство и угоститељство                                                                  </t>
  </si>
  <si>
    <t xml:space="preserve">Услуге за домаћинство                                                                    </t>
  </si>
  <si>
    <t xml:space="preserve">Прање веша                                                                     </t>
  </si>
  <si>
    <t xml:space="preserve">Хемијско чишћење                                                                     </t>
  </si>
  <si>
    <t xml:space="preserve">Угоститељске услуге                                                                     </t>
  </si>
  <si>
    <t xml:space="preserve">Репрезентација                                                                      </t>
  </si>
  <si>
    <t xml:space="preserve">Поклони                                                                      </t>
  </si>
  <si>
    <t xml:space="preserve">Остале опште услуге                                                                    </t>
  </si>
  <si>
    <t xml:space="preserve">Специјализоване услуге                                                                     </t>
  </si>
  <si>
    <t xml:space="preserve">Пољопривредне услуге                                                                     </t>
  </si>
  <si>
    <t xml:space="preserve">Услуге заштите животиња и биља                                                                  </t>
  </si>
  <si>
    <t xml:space="preserve">Услуге ветеринарског прегледа и вакцинације                                                                  </t>
  </si>
  <si>
    <t xml:space="preserve">Заштита биља                                                                     </t>
  </si>
  <si>
    <t xml:space="preserve">Испитивање узорака земљишта и вештачког ђубрива                                                                 </t>
  </si>
  <si>
    <t xml:space="preserve">Остале услуге заштите животиња и биља                                                                 </t>
  </si>
  <si>
    <t xml:space="preserve">Услуге образовања, културе и спорта                                                                  </t>
  </si>
  <si>
    <t xml:space="preserve">Услуге образовања                                                                     </t>
  </si>
  <si>
    <t xml:space="preserve">Образовање деце грађана који живе у иностранству                                                                </t>
  </si>
  <si>
    <t xml:space="preserve">Услуге предшколског образовања                                                                    </t>
  </si>
  <si>
    <t xml:space="preserve">Услуге културе                                                                     </t>
  </si>
  <si>
    <t xml:space="preserve">Услуге спорта                                                                     </t>
  </si>
  <si>
    <t xml:space="preserve">Медицинске услуге                                                                     </t>
  </si>
  <si>
    <t xml:space="preserve">Здравствена заштита по уговору                                                                   </t>
  </si>
  <si>
    <t xml:space="preserve">Здравствена заштита по конвенцији                                                                   </t>
  </si>
  <si>
    <t xml:space="preserve">Услуге јавног здравства – инспекција и анализа                                                                </t>
  </si>
  <si>
    <t xml:space="preserve">Лабораторијске услуге                                                                     </t>
  </si>
  <si>
    <t xml:space="preserve">Остале медицинске услуге                                                                    </t>
  </si>
  <si>
    <t xml:space="preserve">Услуге одржавања аутопутева                                                                    </t>
  </si>
  <si>
    <t xml:space="preserve">Услуге одржавања националних паркова и природних површина                                                                </t>
  </si>
  <si>
    <t xml:space="preserve">Услуге очувања животне средине, науке и геодетске услуге                                                               </t>
  </si>
  <si>
    <t xml:space="preserve">Услуге очувања животне средине                                                                   </t>
  </si>
  <si>
    <t xml:space="preserve">Услуге науке                                                                     </t>
  </si>
  <si>
    <t xml:space="preserve">Геодетске услуге                                                                     </t>
  </si>
  <si>
    <t xml:space="preserve">Остале специјализоване услуге                                                                    </t>
  </si>
  <si>
    <t xml:space="preserve">Текуће поправке и одржавање                                                                   </t>
  </si>
  <si>
    <t xml:space="preserve">Текуће поправке и одржавање зграда и објеката                                                                </t>
  </si>
  <si>
    <t xml:space="preserve">Текуће поправке и одржавање зграда                                                                  </t>
  </si>
  <si>
    <t xml:space="preserve">Зидарски радови                                                                     </t>
  </si>
  <si>
    <t xml:space="preserve">Столарски радови                                                                     </t>
  </si>
  <si>
    <t xml:space="preserve">Молерски радови                                                                     </t>
  </si>
  <si>
    <t xml:space="preserve">Радови на крову                                                                    </t>
  </si>
  <si>
    <t xml:space="preserve">Радови на водоводу и канализацији                                                                  </t>
  </si>
  <si>
    <t xml:space="preserve">Електричне инсталације                                                                     </t>
  </si>
  <si>
    <t xml:space="preserve">Радови на комуникацијским инсталацијама                                                                   </t>
  </si>
  <si>
    <t xml:space="preserve">Остале услуге и материјали за текуће поправке и одржавање зграда                                                             </t>
  </si>
  <si>
    <t xml:space="preserve">Текуће поправке и одржавање осталих објеката                                                                 </t>
  </si>
  <si>
    <t xml:space="preserve">Текуће поправке и одржавање опреме                                                                  </t>
  </si>
  <si>
    <t xml:space="preserve">Текуће поправке и одржавање опреме за саобраћај                                                                </t>
  </si>
  <si>
    <t xml:space="preserve">Механичке поправке                                                                     </t>
  </si>
  <si>
    <t xml:space="preserve">Поправке електричне и електронске опреме                                                                  </t>
  </si>
  <si>
    <t xml:space="preserve">Лимарски радови на возилима                                                                   </t>
  </si>
  <si>
    <t xml:space="preserve">Остале поправке и одржавање опреме за саобраћај                                                                </t>
  </si>
  <si>
    <t xml:space="preserve">Текуће поправке и одржавање административне опреме                                                                 </t>
  </si>
  <si>
    <t xml:space="preserve">Намештај                                                                      </t>
  </si>
  <si>
    <t xml:space="preserve">Опрема за комуникацију                                                                    </t>
  </si>
  <si>
    <t xml:space="preserve">Биротехничка опрема                                                                     </t>
  </si>
  <si>
    <t xml:space="preserve">Уградна опрема                                                                     </t>
  </si>
  <si>
    <t xml:space="preserve">Остале поправке и одржавање административне опреме                                                                 </t>
  </si>
  <si>
    <t xml:space="preserve">Текуће поправке и одржавање опреме за пољопривреду                                                                </t>
  </si>
  <si>
    <t xml:space="preserve">Текуће поправке и одржавање опреме за очување животне средине и науку                                                            </t>
  </si>
  <si>
    <t xml:space="preserve">Текуће поправке и одржавање опреме за очување животне средине                                                              </t>
  </si>
  <si>
    <t xml:space="preserve">Текуће поправке и одржавање опреме за науку                                                                </t>
  </si>
  <si>
    <t xml:space="preserve">Текуће поправке и одржавање медицинске и лабораторијске опреме                                                               </t>
  </si>
  <si>
    <t xml:space="preserve">Текуће поправке и одржавање медицинске опреме                                                                 </t>
  </si>
  <si>
    <t xml:space="preserve">Текуће поправке и одржавање лабораторијске опреме                                                                 </t>
  </si>
  <si>
    <t xml:space="preserve">Текуће поправке и одржавање мерних и контролних инструмената                                                               </t>
  </si>
  <si>
    <t xml:space="preserve">Текуће поправке и одржавање опреме за образовање, културу и спорт                                                             </t>
  </si>
  <si>
    <t xml:space="preserve">Текуће поправке и одржавање опреме за образовање                                                                </t>
  </si>
  <si>
    <t xml:space="preserve">Текуће поправке и одржавање опреме за културу                                                                </t>
  </si>
  <si>
    <t xml:space="preserve">Текуће поправке и одржавање опреме за спорт                                                                </t>
  </si>
  <si>
    <t xml:space="preserve">Текуће поправке и одржавање опреме за војску                                                                </t>
  </si>
  <si>
    <t xml:space="preserve">Текуће поправке и одржавање опреме за јавну безбедност                                                               </t>
  </si>
  <si>
    <t xml:space="preserve">Текуће поправке и одржавање производне, моторне, непокретне и немоторне опреме                                                             </t>
  </si>
  <si>
    <t xml:space="preserve">Материјал                                                                      </t>
  </si>
  <si>
    <t xml:space="preserve">Административни материјал                                                                     </t>
  </si>
  <si>
    <t xml:space="preserve">Канцеларијски материјал                                                                     </t>
  </si>
  <si>
    <t xml:space="preserve">Одећа, обућа и униформе                                                                   </t>
  </si>
  <si>
    <t xml:space="preserve">Расходи за радну униформу                                                                   </t>
  </si>
  <si>
    <t xml:space="preserve">Службена одећа                                                                     </t>
  </si>
  <si>
    <t xml:space="preserve">Униформе                                                                      </t>
  </si>
  <si>
    <t xml:space="preserve">Хтз опрема                                                                     </t>
  </si>
  <si>
    <t xml:space="preserve">Остали расходи за одећу, обућу и униформе                                                                </t>
  </si>
  <si>
    <t xml:space="preserve">Биодекорација                                                                      </t>
  </si>
  <si>
    <t xml:space="preserve">Цвеће и зеленило                                                                    </t>
  </si>
  <si>
    <t xml:space="preserve">Остали административни материјал                                                                    </t>
  </si>
  <si>
    <t xml:space="preserve">Материјали за пољопривреду                                                                    </t>
  </si>
  <si>
    <t xml:space="preserve">Храна за животиње                                                                    </t>
  </si>
  <si>
    <t xml:space="preserve">Стока за експерименте                                                                    </t>
  </si>
  <si>
    <t xml:space="preserve">Природна и вештачка ђубрива и слично                                                                 </t>
  </si>
  <si>
    <t xml:space="preserve">Семе                                                                      </t>
  </si>
  <si>
    <t xml:space="preserve">Биљке                                                                      </t>
  </si>
  <si>
    <t xml:space="preserve">Остали материјал за пољопривреду                                                                   </t>
  </si>
  <si>
    <t xml:space="preserve">Материјали за образовање и усавршавање запослених                                                                 </t>
  </si>
  <si>
    <t xml:space="preserve">Публикације, часописи и гласила                                                                   </t>
  </si>
  <si>
    <t xml:space="preserve">Стручна литература за редовне потребе запослених                                                                 </t>
  </si>
  <si>
    <t xml:space="preserve">Стручна литература за образовање запослених                                                                  </t>
  </si>
  <si>
    <t xml:space="preserve">Материјали за образовање                                                                    </t>
  </si>
  <si>
    <t xml:space="preserve">Материјали за саобраћај                                                                    </t>
  </si>
  <si>
    <t xml:space="preserve">Издаци за гориво                                                                    </t>
  </si>
  <si>
    <t xml:space="preserve">Бензин                                                                      </t>
  </si>
  <si>
    <t xml:space="preserve">Дизел гориво                                                                     </t>
  </si>
  <si>
    <t xml:space="preserve">Уља и мазива                                                                    </t>
  </si>
  <si>
    <t xml:space="preserve">Остали материјал за превозна средства                                                                  </t>
  </si>
  <si>
    <t xml:space="preserve">Материјали за очување животне средине и науку                                                                </t>
  </si>
  <si>
    <t xml:space="preserve">Материјали за метеоролошка мерења                                                                   </t>
  </si>
  <si>
    <t xml:space="preserve">Материјали за истраживање и развој                                                                  </t>
  </si>
  <si>
    <t xml:space="preserve">Материјали за тестирање ваздуха                                                                   </t>
  </si>
  <si>
    <t xml:space="preserve">Материјали за тестирање воде                                                                   </t>
  </si>
  <si>
    <t xml:space="preserve">Материјали за тестирање тла                                                                   </t>
  </si>
  <si>
    <t xml:space="preserve">Остали материјали за очување животне средине и науку                                                               </t>
  </si>
  <si>
    <t xml:space="preserve">Материјали за образовање, културу и спорт                                                                 </t>
  </si>
  <si>
    <t xml:space="preserve">Материјали за културу                                                                    </t>
  </si>
  <si>
    <t xml:space="preserve">Материјали за спорт                                                                    </t>
  </si>
  <si>
    <t xml:space="preserve">Медицински и лабораторијски материјали                                                                   </t>
  </si>
  <si>
    <t xml:space="preserve">Материјали за медицинске тестове                                                                   </t>
  </si>
  <si>
    <t xml:space="preserve">Материјали за лабораторијске тестове                                                                   </t>
  </si>
  <si>
    <t xml:space="preserve">Материјали за вакцинацију                                                                    </t>
  </si>
  <si>
    <t xml:space="preserve">Материјали за имунизацију                                                                    </t>
  </si>
  <si>
    <t xml:space="preserve">Лекови на рецепт                                                                    </t>
  </si>
  <si>
    <t xml:space="preserve">Ортопедски материјали                                                                     </t>
  </si>
  <si>
    <t xml:space="preserve">Остали медицински и лабораторијски материјали                                                                  </t>
  </si>
  <si>
    <t xml:space="preserve">Материјали за одржавање хигијене и угоститељство                                                                 </t>
  </si>
  <si>
    <t xml:space="preserve">Материјали за одржавање хигијене                                                                   </t>
  </si>
  <si>
    <t xml:space="preserve">Хемијска средства за чишћење                                                                   </t>
  </si>
  <si>
    <t xml:space="preserve">Инвентар за одржавање хигијене                                                                   </t>
  </si>
  <si>
    <t xml:space="preserve">Остали материјал за одржавање хигијене                                                                  </t>
  </si>
  <si>
    <t xml:space="preserve">Материјали за угоститељство                                                                    </t>
  </si>
  <si>
    <t xml:space="preserve">Храна                                                                      </t>
  </si>
  <si>
    <t xml:space="preserve">Пића                                                                      </t>
  </si>
  <si>
    <t xml:space="preserve">Намирнице за припремање хране                                                                   </t>
  </si>
  <si>
    <t xml:space="preserve">Остали материјали за угоститељство                                                                   </t>
  </si>
  <si>
    <t xml:space="preserve">Материјали за посебне намене                                                                   </t>
  </si>
  <si>
    <t xml:space="preserve">Потрошни материјал                                                                     </t>
  </si>
  <si>
    <t xml:space="preserve">Резервни делови                                                                     </t>
  </si>
  <si>
    <t xml:space="preserve">Алат и инвентар                                                                    </t>
  </si>
  <si>
    <t xml:space="preserve">Со за путеве                                                                    </t>
  </si>
  <si>
    <t xml:space="preserve">Остали материјали за посебне намене                                                                  </t>
  </si>
  <si>
    <t xml:space="preserve">Амортизација и употреба средстава за рад                                                                 </t>
  </si>
  <si>
    <t xml:space="preserve">Амортизација некретнина и опреме                                                                   </t>
  </si>
  <si>
    <t xml:space="preserve">Амортизација зграда и грађевинских објеката                                                                  </t>
  </si>
  <si>
    <t xml:space="preserve">Амортизација опреме                                                                     </t>
  </si>
  <si>
    <t xml:space="preserve">Амортизација осталих некретнина и опреме                                                                  </t>
  </si>
  <si>
    <t xml:space="preserve">Амортизација култивисане имовине                                                                    </t>
  </si>
  <si>
    <t/>
  </si>
  <si>
    <t xml:space="preserve">Употреба  драгоцености                                                                    </t>
  </si>
  <si>
    <t xml:space="preserve">Употреба драгоцености                                                                     </t>
  </si>
  <si>
    <t xml:space="preserve">Употреба природне имовине                                                                    </t>
  </si>
  <si>
    <t xml:space="preserve">Употреба земљишта                                                                     </t>
  </si>
  <si>
    <t xml:space="preserve">Употреба подземног блага                                                                    </t>
  </si>
  <si>
    <t xml:space="preserve">Употреба шума и вода                                                                   </t>
  </si>
  <si>
    <t xml:space="preserve">Употреба шума                                                                     </t>
  </si>
  <si>
    <t xml:space="preserve">Употреба вода                                                                     </t>
  </si>
  <si>
    <t xml:space="preserve">Амортизација нематеријалне имовине                                                                    </t>
  </si>
  <si>
    <t xml:space="preserve">Отплата камата и пратећи трошкови задуживања                                                                 </t>
  </si>
  <si>
    <t xml:space="preserve">Отплата  домаћих камата                                                                   </t>
  </si>
  <si>
    <t xml:space="preserve">Отплата камата на домаће хартије од вредности                                                                </t>
  </si>
  <si>
    <t xml:space="preserve">Отплата камата на домаће краткорочне хартије од вредности                                                               </t>
  </si>
  <si>
    <t xml:space="preserve">Отплата камата на домаће дугорочне хартије од вредности                                                               </t>
  </si>
  <si>
    <t xml:space="preserve">Отплата камата осталим нивоима власти                                                                  </t>
  </si>
  <si>
    <t xml:space="preserve">Отплата камата нивоу републике                                                                   </t>
  </si>
  <si>
    <t xml:space="preserve">Отплате камата нивоу територијалних аутономија                                                                  </t>
  </si>
  <si>
    <t xml:space="preserve">Отплата камата нивоу градова                                                                   </t>
  </si>
  <si>
    <t xml:space="preserve">Отплата камата нивоу општина                                                                   </t>
  </si>
  <si>
    <t xml:space="preserve">Отплата камата организацијама обавезног социјалног осигурања                                                                 </t>
  </si>
  <si>
    <t xml:space="preserve">Отплата камата републичком фонда за здравствено осигурање                                                                </t>
  </si>
  <si>
    <t xml:space="preserve">Отплата камата републичком фонду за пио                                                                 </t>
  </si>
  <si>
    <t xml:space="preserve">Отплата камата националној служби за запошљавање                                                                 </t>
  </si>
  <si>
    <t xml:space="preserve">Отплата камата домаћим јавним финансијским институцијама                                                                 </t>
  </si>
  <si>
    <t xml:space="preserve">Отплата камата нбс                                                                    </t>
  </si>
  <si>
    <t xml:space="preserve">Отплата камата осталим домаћим јавним финансијским институцијама                                                                </t>
  </si>
  <si>
    <t xml:space="preserve">Отплата камата домаћим пословним банкама                                                                  </t>
  </si>
  <si>
    <t xml:space="preserve">Отплата камата осталим домаћим кредиторима                                                                  </t>
  </si>
  <si>
    <t xml:space="preserve">Отплата камата домаћинствима у земљи                                                                  </t>
  </si>
  <si>
    <t xml:space="preserve">Отплата камата на домаће финансијске деривате                                                                 </t>
  </si>
  <si>
    <t xml:space="preserve">Отплата камата на домаће менице                                                                  </t>
  </si>
  <si>
    <t xml:space="preserve">Финансијске промене на финансијским лизинзима                                                                  </t>
  </si>
  <si>
    <t xml:space="preserve">Камате на куповине путем лизинга                                                                  </t>
  </si>
  <si>
    <t xml:space="preserve">Отплата страних камата                                                                    </t>
  </si>
  <si>
    <t xml:space="preserve">Отплата камата на хартије од вредности емитоване на иностраном финансијском тржишту                                                            </t>
  </si>
  <si>
    <t xml:space="preserve">Отплата камата на краткорочне хартије од вредности емитоване на иностраном финансијском тржишту                                                           </t>
  </si>
  <si>
    <t xml:space="preserve">Отплата камата на дугорочне хартије од вредности емитоване на иностраном финансијском тржишту                                                           </t>
  </si>
  <si>
    <t xml:space="preserve">Отплата камата на дугорочне хартије од вредности емитоване на иностраном тржишту                                                            </t>
  </si>
  <si>
    <t xml:space="preserve">Отплата камата страним владама                                                                   </t>
  </si>
  <si>
    <t xml:space="preserve">Отплата камата париском клубу                                                                   </t>
  </si>
  <si>
    <t xml:space="preserve">Отплата камата страним увозно извозним банкама                                                                 </t>
  </si>
  <si>
    <t xml:space="preserve">Отплата камата осталим страним владама                                                                  </t>
  </si>
  <si>
    <t xml:space="preserve">Отплата камата мултилатералним институцијама                                                                   </t>
  </si>
  <si>
    <t xml:space="preserve">Отплата камата светској банци                                                                   </t>
  </si>
  <si>
    <t xml:space="preserve">Отплата камата ibrd                                                                    </t>
  </si>
  <si>
    <t xml:space="preserve">Отплата камата ebrd                                                                    </t>
  </si>
  <si>
    <t xml:space="preserve">Отплата камата eib                                                                    </t>
  </si>
  <si>
    <t xml:space="preserve">Отплата камата ceb                                                                    </t>
  </si>
  <si>
    <t xml:space="preserve">Отплата камата осталим мултилатералним институцијама                                                                  </t>
  </si>
  <si>
    <t xml:space="preserve">Отплата камата страним пословним банкама                                                                  </t>
  </si>
  <si>
    <t xml:space="preserve">Отплата камата лондонском клубу                                                                   </t>
  </si>
  <si>
    <t xml:space="preserve">Отплата камата осталим страним пословним банкама                                                                 </t>
  </si>
  <si>
    <t xml:space="preserve">Отплата камата осталим страним кредиторима                                                                  </t>
  </si>
  <si>
    <t xml:space="preserve">Отплата камата на стране финансијске деривате                                                                 </t>
  </si>
  <si>
    <t xml:space="preserve">Отплата камата по гаранцијама                                                                   </t>
  </si>
  <si>
    <t xml:space="preserve">Пратећи трошкови задуживања                                                                    </t>
  </si>
  <si>
    <t xml:space="preserve">Негативне курсне разлике                                                                    </t>
  </si>
  <si>
    <t xml:space="preserve">Казне за кашњење                                                                    </t>
  </si>
  <si>
    <t xml:space="preserve">Казне по решењу правосудних органа                                                                  </t>
  </si>
  <si>
    <t xml:space="preserve">Остале казне                                                                     </t>
  </si>
  <si>
    <t xml:space="preserve">Таксе које проистичу из задуживања                                                                  </t>
  </si>
  <si>
    <t xml:space="preserve">Субвенције                                                                      </t>
  </si>
  <si>
    <t xml:space="preserve">Субвенције јавним нефинансијским предузећима и организацијама                                                                 </t>
  </si>
  <si>
    <t xml:space="preserve">Текуће субвенције јавним нефинансијским предузећима и организацијама                                                                </t>
  </si>
  <si>
    <t xml:space="preserve">Текуће субвенције јавном градском саобраћају                                                                  </t>
  </si>
  <si>
    <t xml:space="preserve">Текуће субвенције  јавном железничком саобраћају                                                                 </t>
  </si>
  <si>
    <t xml:space="preserve">Текуће субвенције јавном железничком саобраћају за исплату зарада                                                               </t>
  </si>
  <si>
    <t xml:space="preserve">Текуће субвенције јавном железничком саобраћају за отплату камата                                                               </t>
  </si>
  <si>
    <t xml:space="preserve">Остале текуће субвенције  јавном железничком саобраћају                                                                </t>
  </si>
  <si>
    <t xml:space="preserve">Текуће субвенције за водопривреду                                                                   </t>
  </si>
  <si>
    <t xml:space="preserve">Текуће субвенције за пољопривреду                                                                   </t>
  </si>
  <si>
    <t xml:space="preserve">Текуће субвенције осталим јавним нефинансијским предузећима и организацијама                                                               </t>
  </si>
  <si>
    <t xml:space="preserve">Капиталне субвенције јавним нефинансијским предузећима и организацијама                                                                </t>
  </si>
  <si>
    <t xml:space="preserve">Капиталне субвенције јавном градском саобраћају                                                                  </t>
  </si>
  <si>
    <t xml:space="preserve">Капиталне субвенције јавном железничком саобраћају                                                                  </t>
  </si>
  <si>
    <t xml:space="preserve">Капиталне субвенције  јавном железничком саобраћају                                                                 </t>
  </si>
  <si>
    <t xml:space="preserve">Капиталне субвенције за водопривреду                                                                   </t>
  </si>
  <si>
    <t xml:space="preserve">Капиталне субвенције за пољопривреду                                                                   </t>
  </si>
  <si>
    <t xml:space="preserve">Капиталне субвенције осталим јавним нефинансијским предузећима и организацијама                                                               </t>
  </si>
  <si>
    <t xml:space="preserve">Субвенције приватним финансијским институцијама                                                                   </t>
  </si>
  <si>
    <t xml:space="preserve">Текуће субвенције приватним финансијским институцијама                                                                  </t>
  </si>
  <si>
    <t xml:space="preserve">Текуће субвенције пословним и трговачким банкама                                                                 </t>
  </si>
  <si>
    <t xml:space="preserve">Текуће субвенције осталим финансијским институцијама                                                                  </t>
  </si>
  <si>
    <t xml:space="preserve">Капиталне субвенције приватним финансијским институцијама                                                                  </t>
  </si>
  <si>
    <t xml:space="preserve">Капиталне субвенције пословним и трговачким банкама                                                                 </t>
  </si>
  <si>
    <t xml:space="preserve">Капиталне субвенције осталим финансијским институцијама                                                                  </t>
  </si>
  <si>
    <t xml:space="preserve">Субвенције јавним финансијским институцијама                                                                   </t>
  </si>
  <si>
    <t xml:space="preserve">Текуће субвенције јавним финансијским институцијама                                                                  </t>
  </si>
  <si>
    <t xml:space="preserve">Текуће субвенције  нбс                                                                   </t>
  </si>
  <si>
    <t xml:space="preserve">Текуће субвенције нбс                                                                    </t>
  </si>
  <si>
    <t xml:space="preserve">Текуће субвенције осталим јавним финансијским институцијама                                                                 </t>
  </si>
  <si>
    <t xml:space="preserve">Капиталне субвенције јавним финансијским институцијама                                                                  </t>
  </si>
  <si>
    <t xml:space="preserve">Капиталне субвенције нбс                                                                    </t>
  </si>
  <si>
    <t xml:space="preserve">Капиталне субвенције осталим јавним финансијским институцијама                                                                 </t>
  </si>
  <si>
    <t xml:space="preserve">Субвенције приватним предузећима                                                                    </t>
  </si>
  <si>
    <t xml:space="preserve">Текуће субвенције приватним предузећима                                                                   </t>
  </si>
  <si>
    <t xml:space="preserve">Капиталне субвенције приватним предузећима                                                                   </t>
  </si>
  <si>
    <t xml:space="preserve">Донације, дотације и трансфери                                                                   </t>
  </si>
  <si>
    <t xml:space="preserve">Донације страним владама                                                                    </t>
  </si>
  <si>
    <t xml:space="preserve">Текуће донације страним владама                                                                   </t>
  </si>
  <si>
    <t xml:space="preserve">Капиталне донације страним владама                                                                   </t>
  </si>
  <si>
    <t xml:space="preserve">Дотације међународним организацијама                                                                    </t>
  </si>
  <si>
    <t xml:space="preserve">Текуће дотације међународним организацијама                                                                   </t>
  </si>
  <si>
    <t xml:space="preserve">Текуће дотације међународном црвеном крсту                                                                  </t>
  </si>
  <si>
    <t xml:space="preserve">Текуће дотације за међународне чланарине                                                                  </t>
  </si>
  <si>
    <t xml:space="preserve">Остале текуће дотације  међународним организацијама                                                                 </t>
  </si>
  <si>
    <t xml:space="preserve">Остале текуће дотације међународним организацијама                                                                  </t>
  </si>
  <si>
    <t xml:space="preserve">Капиталне дотације међународним организацијама                                                                   </t>
  </si>
  <si>
    <t xml:space="preserve">Капиталне дотације међународном црвеном крсту                                                                  </t>
  </si>
  <si>
    <t xml:space="preserve">Остале капиталне дотације међународним организацијама                                                                  </t>
  </si>
  <si>
    <t xml:space="preserve">Трансфери осталим нивоима власти                                                                   </t>
  </si>
  <si>
    <t xml:space="preserve">Текући трансфери осталим нивоима власти                                                                  </t>
  </si>
  <si>
    <t xml:space="preserve">Текући трансфери нивоу републике                                                                   </t>
  </si>
  <si>
    <t xml:space="preserve">Текући трансфери нивоу територијалних аутономија                                                                  </t>
  </si>
  <si>
    <t xml:space="preserve">Текући трансфери за ап војводина                                                                  </t>
  </si>
  <si>
    <t xml:space="preserve">Текући трансфери за југ србије и ап косово и метохија                                                             </t>
  </si>
  <si>
    <t xml:space="preserve">Текући трансфери нивоу градова                                                                   </t>
  </si>
  <si>
    <t xml:space="preserve">Наменски трансфери нивоу градова                                                                   </t>
  </si>
  <si>
    <t xml:space="preserve">Ненаменски трансфери нивоу градова                                                                   </t>
  </si>
  <si>
    <t xml:space="preserve">Текући трансфери нивоу општина                                                                   </t>
  </si>
  <si>
    <t xml:space="preserve">Наменски трансфери нивоу општина                                                                   </t>
  </si>
  <si>
    <t xml:space="preserve">Ненаменски трансфери нивоу општина                                                                   </t>
  </si>
  <si>
    <t xml:space="preserve">Капитални трансфери осталим нивоима власти                                                                  </t>
  </si>
  <si>
    <t xml:space="preserve">Капитални трансфери нивоу републике                                                                   </t>
  </si>
  <si>
    <t xml:space="preserve">Капитални трансфери нивоу територијалних аутономија                                                                  </t>
  </si>
  <si>
    <t xml:space="preserve">Капитални трансфери за ап војводина                                                                  </t>
  </si>
  <si>
    <t xml:space="preserve">Капитални трансфери за југ србије и косово и метохију                                                              </t>
  </si>
  <si>
    <t xml:space="preserve">Капитални трансфери нивоу градова                                                                   </t>
  </si>
  <si>
    <t xml:space="preserve">Капитални трансфери нивоу општина                                                                   </t>
  </si>
  <si>
    <t xml:space="preserve">Дотације организацијама обавезног социјалног осигурања                                                                  </t>
  </si>
  <si>
    <t xml:space="preserve">Текуће дотације организацијама обавезног социјалног осигурања                                                                 </t>
  </si>
  <si>
    <t xml:space="preserve">Текуће дотације републичком фонду за здравствено осигурање                                                                </t>
  </si>
  <si>
    <t xml:space="preserve">Текуће дотације здравственим установама за инвестиције и инвестиционо одржавање                                                              </t>
  </si>
  <si>
    <t xml:space="preserve">Текуће дотације здравственим установама за набавку медицинске и друге опреме                                                             </t>
  </si>
  <si>
    <t xml:space="preserve">Текуће дотације републичком фонду за пио запослених                                                                </t>
  </si>
  <si>
    <t xml:space="preserve">Текуће дотације републичком фонду за пио за осигуранике запослене                                                              </t>
  </si>
  <si>
    <t xml:space="preserve">Текуће дотације републичком фонду за пио пољопривредника                                                                </t>
  </si>
  <si>
    <t xml:space="preserve">Текуће дотације републичком фонду за пио за осигуранике пољопривреднике                                                              </t>
  </si>
  <si>
    <t xml:space="preserve">Текуће дотације републичком фонду за пио самосталних делатности                                                               </t>
  </si>
  <si>
    <t xml:space="preserve">Текуће дотације републичком фонду за пио за осигуранике самосталних делатности                                                             </t>
  </si>
  <si>
    <t xml:space="preserve">Текуће дотације националној служби за запошљавање                                                                 </t>
  </si>
  <si>
    <t xml:space="preserve">Капиталне дотације организацијама обавезног социјалног осигурања                                                                 </t>
  </si>
  <si>
    <t xml:space="preserve">Капиталне дотације републичком фонду за здравствено осигурање                                                                </t>
  </si>
  <si>
    <t xml:space="preserve">Капиталне дотације здравственим установама за инвестиције и инвестиционо одржавање                                                              </t>
  </si>
  <si>
    <t xml:space="preserve">Капиталне дотације здравственим установама за набавку медицинске и друге опреме                                                             </t>
  </si>
  <si>
    <t xml:space="preserve">Капиталне дотације републичком фонду за пио                                                                 </t>
  </si>
  <si>
    <t xml:space="preserve">Капиталне дотације националној служби за запошљавање                                                                 </t>
  </si>
  <si>
    <t xml:space="preserve">Остале дотације и трансфери                                                                   </t>
  </si>
  <si>
    <t xml:space="preserve">Остале текуће дотације и трансфери                                                                  </t>
  </si>
  <si>
    <t xml:space="preserve">Остале текуће дотације по закону                                                                  </t>
  </si>
  <si>
    <t xml:space="preserve">Остале капиталне дотације и трансфери                                                                  </t>
  </si>
  <si>
    <t xml:space="preserve">Социјално осигурање и социјална заштита                                                                  </t>
  </si>
  <si>
    <t xml:space="preserve">Права из социјалног осигурања (организације обавезног социјалног осигурања)                                                               </t>
  </si>
  <si>
    <t xml:space="preserve">Права из социјалног осигурања која се исплаћују непосредно домаћинствима                                                              </t>
  </si>
  <si>
    <t xml:space="preserve">Накнаде зарада осигураницима услед привремене неспособности за рад                                                               </t>
  </si>
  <si>
    <t xml:space="preserve">Накнаде зарада у току привремене неспособности за рад проузроковане повредом на раду или професионалном болешћу                                                        </t>
  </si>
  <si>
    <t xml:space="preserve">Накнаде зарада у току привремене неспособности за рад проузроковане болешћу                                                             </t>
  </si>
  <si>
    <t xml:space="preserve">Накнаде зарада у току привремене неспособности за рад услед карантина, неге и сл.                                                          </t>
  </si>
  <si>
    <t xml:space="preserve">Накнаде за продужену негу детета у складу са законом                                                              </t>
  </si>
  <si>
    <t xml:space="preserve">Права из пензијског осигурања                                                                   </t>
  </si>
  <si>
    <t xml:space="preserve">Основне пензије                                                                     </t>
  </si>
  <si>
    <t xml:space="preserve">Пензије по уредби                                                                    </t>
  </si>
  <si>
    <t xml:space="preserve">Иностране пензије                                                                     </t>
  </si>
  <si>
    <t xml:space="preserve">Нега и помоћ пензионера                                                                   </t>
  </si>
  <si>
    <t xml:space="preserve">Телесно оштећење пензионера                                                                    </t>
  </si>
  <si>
    <t xml:space="preserve">Остала права из пензијског осигурања у складу са законом                                                              </t>
  </si>
  <si>
    <t xml:space="preserve">Накнаде из инвалидског осигурања                                                                   </t>
  </si>
  <si>
    <t xml:space="preserve">Накнада за скраћено радно време за инвалиде ii категорије                                                              </t>
  </si>
  <si>
    <t xml:space="preserve">Накнада за инвалиде i и ii категорије                                                                </t>
  </si>
  <si>
    <t xml:space="preserve">Збирна накнада за инвалиде ii категорије                                                                 </t>
  </si>
  <si>
    <t xml:space="preserve">Привремена накнада зараде од дана настајања инвалидности до запошљавања на друго одговарајуће радно место                                                         </t>
  </si>
  <si>
    <t xml:space="preserve">Накнаде за телесно оштећење                                                                   </t>
  </si>
  <si>
    <t xml:space="preserve">Накнаде за инвалиде iii категорије                                                                  </t>
  </si>
  <si>
    <t xml:space="preserve">Нега и помоћ осигураника                                                                   </t>
  </si>
  <si>
    <t xml:space="preserve">Накнаде за друго одговарајуће радно место – остала права из инвалидског осигурања                                                           </t>
  </si>
  <si>
    <t xml:space="preserve">Исплате националне службе за запошљавање                                                                  </t>
  </si>
  <si>
    <t xml:space="preserve">Накнаде за случај незапослености                                                                   </t>
  </si>
  <si>
    <t xml:space="preserve">Накнаде зарада                                                                     </t>
  </si>
  <si>
    <t xml:space="preserve">Средства за обуку и едукацију                                                                  </t>
  </si>
  <si>
    <t xml:space="preserve">Једнократна помоћ                                                                     </t>
  </si>
  <si>
    <t xml:space="preserve">Остале исплате националне службе за запошљавање директно домаћинствима                                                               </t>
  </si>
  <si>
    <t xml:space="preserve">Остала социјална давања непосредно домаћинствима                                                                  </t>
  </si>
  <si>
    <t xml:space="preserve">Исплате дневница и путних трошкова за путовања у земљи                                                              </t>
  </si>
  <si>
    <t xml:space="preserve">Исплате дневница и путних трошкова за путовања у иностранству                                                              </t>
  </si>
  <si>
    <t xml:space="preserve">Погребни трошкови                                                                     </t>
  </si>
  <si>
    <t xml:space="preserve">Накнаде за становање                                                                    </t>
  </si>
  <si>
    <t xml:space="preserve">Услуге рехабилитације и рекреације                                                                   </t>
  </si>
  <si>
    <t xml:space="preserve">Остала права исплаћена непосредно домаћинствима                                                                  </t>
  </si>
  <si>
    <t xml:space="preserve">Права из социјалног осигурања која се исплаћују непосредно пружаоцима услуга                                                             </t>
  </si>
  <si>
    <t xml:space="preserve">Трошкови здравствене заштите у земљи плаћени непосредно пружаоцима услуга                                                              </t>
  </si>
  <si>
    <t xml:space="preserve">Услуге болница, поликлиника и амбуланти                                                                  </t>
  </si>
  <si>
    <t xml:space="preserve">Услуге дијализе                                                                     </t>
  </si>
  <si>
    <t xml:space="preserve">Фармацеутске услуге и материјали                                                                   </t>
  </si>
  <si>
    <t xml:space="preserve">Стоматолошке услуге                                                                     </t>
  </si>
  <si>
    <t xml:space="preserve">Болничке услуге                                                                     </t>
  </si>
  <si>
    <t xml:space="preserve">Помагала и направе                                                                    </t>
  </si>
  <si>
    <t xml:space="preserve">Услуге које пружају установе социјалне заштите                                                                 </t>
  </si>
  <si>
    <t xml:space="preserve">Остале услуге здравствене заштите у земљи                                                                 </t>
  </si>
  <si>
    <t xml:space="preserve">Услуге здравствене заштите у иностранству плаћене непосредно пружаоцима услуга                                                              </t>
  </si>
  <si>
    <t xml:space="preserve">Здравствена заштита по принципу реципроцитета                                                                  </t>
  </si>
  <si>
    <t xml:space="preserve">Здравствена заштита осигураника који живе у иностранству                                                                </t>
  </si>
  <si>
    <t xml:space="preserve">Трошкови слања осигураних лица на лечење у иностранство                                                               </t>
  </si>
  <si>
    <t xml:space="preserve">Остали трошкови здравствене заштите у иностранству                                                                 </t>
  </si>
  <si>
    <t xml:space="preserve">Брига о пензионисаним лицима                                                                   </t>
  </si>
  <si>
    <t xml:space="preserve">Трошкови смештаја пензионера у домове за старе                                                                </t>
  </si>
  <si>
    <t xml:space="preserve">Трошкови дневног смештаја, помоћи у кући и заштићеног становања                                                              </t>
  </si>
  <si>
    <t xml:space="preserve">Брига о инвалидима                                                                    </t>
  </si>
  <si>
    <t xml:space="preserve">Трошкови смештаја деце инвалида                                                                   </t>
  </si>
  <si>
    <t xml:space="preserve">Трошкови образовања деце инвалида                                                                   </t>
  </si>
  <si>
    <t xml:space="preserve">Трошкови за заштитне радионице                                                                   </t>
  </si>
  <si>
    <t xml:space="preserve">Исплате послодавцима које врши национална служба за запошљавање за запошљавање лица са евиденције                                                          </t>
  </si>
  <si>
    <t xml:space="preserve">Учешће у финансирању зарада лица са евиденција која запошљавају фирме                                                             </t>
  </si>
  <si>
    <t xml:space="preserve">Једнократна помоћ фирмама које запошљавају лица са евиденција                                                               </t>
  </si>
  <si>
    <t xml:space="preserve">Средства за целокупни износ зарада фирмама које запошљавају лица са евиденције                                                            </t>
  </si>
  <si>
    <t xml:space="preserve">Услуге обуке преко националне службе за запошљавање                                                                </t>
  </si>
  <si>
    <t xml:space="preserve">Опште услуге обуке                                                                    </t>
  </si>
  <si>
    <t xml:space="preserve">Услуге преквалификације                                                                     </t>
  </si>
  <si>
    <t xml:space="preserve">Специјализована обука                                                                     </t>
  </si>
  <si>
    <t xml:space="preserve">Остала права која се плаћају директно пружаоцима услуга                                                               </t>
  </si>
  <si>
    <t xml:space="preserve">Услуге хитне помоћи                                                                    </t>
  </si>
  <si>
    <t xml:space="preserve">Остала права из социјалног осигурања која се исплаћују непосредно пружаоцима услуга                                                            </t>
  </si>
  <si>
    <t xml:space="preserve">Трансфери другим организацијама обавезног социјалног осигурања за доприносе за осигурање                                                             </t>
  </si>
  <si>
    <t xml:space="preserve">Трансфери републичком фонду за здравствено осигурање за доприносе за осигурање                                                             </t>
  </si>
  <si>
    <t xml:space="preserve">Трансфери за здравствено осигурање инвалида ii и iii категорије                                                              </t>
  </si>
  <si>
    <t xml:space="preserve">Трансфери републичком фонду за здравствено осигурање за накнаде зарада од дана инвалидности до дана правоснажности решења                                                       </t>
  </si>
  <si>
    <t xml:space="preserve">Трансфери републичком фонду за здравствено осигурање за доприносе за осигурање незапослених лица                                                           </t>
  </si>
  <si>
    <t xml:space="preserve">Трансфери републичком фонду за здравствено осигурање за доприносе за осигурање незапослених лица – продужено осигурање                                                        </t>
  </si>
  <si>
    <t xml:space="preserve">Трансфери републичком фонду за пио за осигуранике запослене за доприносе за осигурање                                                           </t>
  </si>
  <si>
    <t xml:space="preserve">Трансфери републичком фонду за пио за осигуранике запослене  за доприносе за осигурање незапослених                                                         </t>
  </si>
  <si>
    <t xml:space="preserve">Трансфери републичком фонду за пио за осигуранике запослене   за доприносе за осигурање незапослених – продужено осигурање                                                     </t>
  </si>
  <si>
    <t xml:space="preserve">Трансфери републичком фонду за пио за осигуранике пољопривредника за доприносе за осигурање                                                           </t>
  </si>
  <si>
    <t xml:space="preserve">Трансфери републичком фонду за пио за осигуранике за осигуранике пољопривреднике за доприносе за осигурање                                                         </t>
  </si>
  <si>
    <t xml:space="preserve">Трансфери републичком фонду за пио  за осигуранике самосталних делатности за доприносе за осигурање                                                         </t>
  </si>
  <si>
    <t xml:space="preserve">Трансфери републичком фонду за пио за осигуранике самосталних делатности за доприносе за осигурање                                                          </t>
  </si>
  <si>
    <t xml:space="preserve">Трансфери републичком фонду за пио за осигуранике самосталних делатности за доприносе за осигурање незапослених                                                         </t>
  </si>
  <si>
    <t xml:space="preserve">Трансфери републичком фонду за пио за осигуранике самосталних делатности за доприносе за осигурање незапослених – продужено осигурање                                                      </t>
  </si>
  <si>
    <t xml:space="preserve">Трансфери националној служби за запошљавање за доприносе за осигурање                                                              </t>
  </si>
  <si>
    <t xml:space="preserve">Накнаде за социјалну заштиту из буџета                                                                 </t>
  </si>
  <si>
    <t xml:space="preserve">Накнаде из буџета у случају болести и инвалидности                                                               </t>
  </si>
  <si>
    <t xml:space="preserve">Накнаде за боловање                                                                    </t>
  </si>
  <si>
    <t xml:space="preserve">Накнаде за инвалидност                                                                    </t>
  </si>
  <si>
    <t xml:space="preserve">Накнаде ратним инвалидима                                                                    </t>
  </si>
  <si>
    <t xml:space="preserve">Накнаде ратним војним инвалидима                                                                   </t>
  </si>
  <si>
    <t xml:space="preserve">Накнаде ратним цивилним инвалидима                                                                   </t>
  </si>
  <si>
    <t xml:space="preserve">Накнаде из буџета за породиљско одсуство                                                                 </t>
  </si>
  <si>
    <t xml:space="preserve">Накнаде из буџета за децу и породицу                                                                </t>
  </si>
  <si>
    <t xml:space="preserve">Накнаде из буџета за случај незапослености                                                                 </t>
  </si>
  <si>
    <t xml:space="preserve">Старосне и породичне пензије из буџета                                                                 </t>
  </si>
  <si>
    <t xml:space="preserve">Старосне пензије                                                                     </t>
  </si>
  <si>
    <t xml:space="preserve">Породичне пензије                                                                     </t>
  </si>
  <si>
    <t xml:space="preserve">Накнаде из буџета у случају смрти                                                                 </t>
  </si>
  <si>
    <t xml:space="preserve">Накнаде из буџета за образовање, културу, науку и спорт                                                              </t>
  </si>
  <si>
    <t xml:space="preserve">Накнаде из буџета за образовање                                                                  </t>
  </si>
  <si>
    <t xml:space="preserve">Академске награде                                                                     </t>
  </si>
  <si>
    <t xml:space="preserve">Студентске награде                                                                     </t>
  </si>
  <si>
    <t xml:space="preserve">Ученичке награде                                                                     </t>
  </si>
  <si>
    <t xml:space="preserve">Студентске стипендије                                                                     </t>
  </si>
  <si>
    <t xml:space="preserve">Ученичке стипендије                                                                     </t>
  </si>
  <si>
    <t xml:space="preserve">Исхрана и смештај студената                                                                   </t>
  </si>
  <si>
    <t xml:space="preserve">Исхрана и смештај ученика                                                                   </t>
  </si>
  <si>
    <t xml:space="preserve">Остале накнаде за образовање                                                                   </t>
  </si>
  <si>
    <t xml:space="preserve">Накнаде из буџета за културу                                                                  </t>
  </si>
  <si>
    <t xml:space="preserve">Накнаде из буџета за спорт                                                                  </t>
  </si>
  <si>
    <t xml:space="preserve">Спортске награде                                                                     </t>
  </si>
  <si>
    <t xml:space="preserve">Спортске стипендије                                                                     </t>
  </si>
  <si>
    <t xml:space="preserve">Накнаде из буџета за науку                                                                  </t>
  </si>
  <si>
    <t xml:space="preserve">Накнаде за образовање и усавршавање научноистраживачких кадрова                                                                </t>
  </si>
  <si>
    <t xml:space="preserve">Накнаде из буџета за становање и живот                                                                </t>
  </si>
  <si>
    <t xml:space="preserve">Остале накнаде из буџета                                                                   </t>
  </si>
  <si>
    <t xml:space="preserve">Исплате бившим политичким затвореницима                                                                   </t>
  </si>
  <si>
    <t xml:space="preserve">Исплате лицима лишених слободе                                                                   </t>
  </si>
  <si>
    <t xml:space="preserve">Исплате осуђеницима                                                                     </t>
  </si>
  <si>
    <t xml:space="preserve">Накнада трошкова на име остваривања права лица лишених слободе                                                              </t>
  </si>
  <si>
    <t xml:space="preserve">Остали расходи                                                                     </t>
  </si>
  <si>
    <t xml:space="preserve">Дотације невладиним организацијама                                                                    </t>
  </si>
  <si>
    <t xml:space="preserve">Дотације непрофитним организацијама које пружају помоћ домаћинствима                                                                </t>
  </si>
  <si>
    <t xml:space="preserve">Дотације непрофитним здравственим организацијама                                                                   </t>
  </si>
  <si>
    <t xml:space="preserve">Дотације непрофитним здравственим организацијама за лечење особа лишених слободе                                                              </t>
  </si>
  <si>
    <t xml:space="preserve">Дотације непрофитним здравственим организацијама за лечење особа непознатог пребивалишта                                                              </t>
  </si>
  <si>
    <t xml:space="preserve">Дотације у натури непрофитним организацијама које пружају услуге домаћинствима                                                              </t>
  </si>
  <si>
    <t xml:space="preserve">Дотације добротворним организацијама у храни, одећи, ћебадима и лековима за домаћинства                                                            </t>
  </si>
  <si>
    <t xml:space="preserve">Дотације црвеном крсту србије                                                                   </t>
  </si>
  <si>
    <t xml:space="preserve">Дотације осталим непрофитним институцијама                                                                   </t>
  </si>
  <si>
    <t xml:space="preserve">Дотације спортским омладинским организацијама                                                                   </t>
  </si>
  <si>
    <t xml:space="preserve">Дотације етничким заједницама и мањинама                                                                  </t>
  </si>
  <si>
    <t xml:space="preserve">Дотације верским заједницама                                                                    </t>
  </si>
  <si>
    <t xml:space="preserve">Дотације осталим удружењима грађана и политичким странкама                                                                </t>
  </si>
  <si>
    <t xml:space="preserve">Дотације осталим удружењима грађана                                                                   </t>
  </si>
  <si>
    <t xml:space="preserve">Дотације политичким странкама                                                                    </t>
  </si>
  <si>
    <t xml:space="preserve">Дотације привредним коморама                                                                    </t>
  </si>
  <si>
    <t xml:space="preserve">Дотације приватним и алтернативним школама                                                                  </t>
  </si>
  <si>
    <t xml:space="preserve">Дотације приватним и алтернативним основним школама                                                                 </t>
  </si>
  <si>
    <t xml:space="preserve">Дотације приватним и алтернативним средњим школама                                                                 </t>
  </si>
  <si>
    <t xml:space="preserve">Дотације осталим приватним и алтернативним школама                                                                 </t>
  </si>
  <si>
    <t xml:space="preserve">Порези, обавезне таксе, казне и пенали                                                                 </t>
  </si>
  <si>
    <t xml:space="preserve">Остали порези                                                                     </t>
  </si>
  <si>
    <t xml:space="preserve">Порези на имовину                                                                    </t>
  </si>
  <si>
    <t xml:space="preserve">Стални порез на имовину                                                                   </t>
  </si>
  <si>
    <t xml:space="preserve">Порез на финансијске трансакције                                                                   </t>
  </si>
  <si>
    <t xml:space="preserve">Порез на робе и услуге                                                                  </t>
  </si>
  <si>
    <t xml:space="preserve">Порез на робу                                                                    </t>
  </si>
  <si>
    <t xml:space="preserve">Порез на услуге                                                                    </t>
  </si>
  <si>
    <t xml:space="preserve">Акцизе                                                                      </t>
  </si>
  <si>
    <t xml:space="preserve">Порез на коришћење роба или обављање активности                                                                </t>
  </si>
  <si>
    <t xml:space="preserve">Регистрација возила                                                                     </t>
  </si>
  <si>
    <t xml:space="preserve">Порез на мобилне телефоне                                                                   </t>
  </si>
  <si>
    <t xml:space="preserve">Порези на међународну трговину                                                                   </t>
  </si>
  <si>
    <t xml:space="preserve">Царине                                                                      </t>
  </si>
  <si>
    <t xml:space="preserve">Обавезне таксе                                                                     </t>
  </si>
  <si>
    <t xml:space="preserve">Новчане казне и пенали                                                                   </t>
  </si>
  <si>
    <t xml:space="preserve">Републичке казне и пенали                                                                   </t>
  </si>
  <si>
    <t xml:space="preserve">Пенали                                                                      </t>
  </si>
  <si>
    <t xml:space="preserve">Новчане казне и пенали по решењу судова                                                                </t>
  </si>
  <si>
    <t xml:space="preserve">Накнада штете за повреде или штету насталу услед елементарних непогода или других природних узрока                                                         </t>
  </si>
  <si>
    <t xml:space="preserve">Накнада штете за повреде или штету насталу услед елементарних непогода                                                             </t>
  </si>
  <si>
    <t xml:space="preserve">Накнада штете од дивљачи                                                                   </t>
  </si>
  <si>
    <t xml:space="preserve">Накнада штете за повреде или штету нанету од стране државних органа                                                            </t>
  </si>
  <si>
    <t xml:space="preserve">Накнада штете неоправдано осуђених лица                                                                  </t>
  </si>
  <si>
    <t xml:space="preserve">Остале накнаде штете                                                                    </t>
  </si>
  <si>
    <t xml:space="preserve">Расходи који се финансирају из средстава за реализацију националног инвестиционог плана                                                            </t>
  </si>
  <si>
    <t xml:space="preserve">Административни трансфери из буџета, од директних буџетских корисника индиректним буџетским корисницима или између буџетских корисника на истом нивоу  и средства резерве                                                 </t>
  </si>
  <si>
    <t xml:space="preserve">Допринос за случај незапослености                                                                   </t>
  </si>
  <si>
    <t xml:space="preserve">Исплата накнада за време одсуствовања с посла                                                                </t>
  </si>
  <si>
    <t xml:space="preserve">Материјал за пољопривреду                                                                    </t>
  </si>
  <si>
    <t xml:space="preserve">Материјал за образовање и усавршавање запослених                                                                 </t>
  </si>
  <si>
    <t xml:space="preserve">Материјал за саобраћај                                                                    </t>
  </si>
  <si>
    <t xml:space="preserve">Материјал за очување животне средине и науку                                                                </t>
  </si>
  <si>
    <t xml:space="preserve">Материјал за образовање, културу и спорт                                                                 </t>
  </si>
  <si>
    <t xml:space="preserve">Материјал за одржавање хигијене и угоститељство                                                                 </t>
  </si>
  <si>
    <t xml:space="preserve">Материјал за посебне намене                                                                   </t>
  </si>
  <si>
    <t xml:space="preserve">Отплата домаћих камата                                                                    </t>
  </si>
  <si>
    <t xml:space="preserve">Отплата камата пословним банкама                                                                   </t>
  </si>
  <si>
    <t xml:space="preserve">Отплата камата осталим кредиторима                                                                   </t>
  </si>
  <si>
    <t xml:space="preserve">Отплата камата домаћинствима                                                                    </t>
  </si>
  <si>
    <t xml:space="preserve">Отплата камата на менице                                                                   </t>
  </si>
  <si>
    <t xml:space="preserve">Права из социјалног осигурања                                                                   </t>
  </si>
  <si>
    <t xml:space="preserve">Накнаде из буџета за случај  незапослености                                                                </t>
  </si>
  <si>
    <t xml:space="preserve">Остале накнаде за социјалну заштиту из буџета                                                                </t>
  </si>
  <si>
    <t xml:space="preserve">Порези, обавезне таксе и казне                                                                  </t>
  </si>
  <si>
    <t xml:space="preserve">Издаци за нефинансијску имовину                                                                   </t>
  </si>
  <si>
    <t xml:space="preserve">Куповина зграда и објеката                                                                   </t>
  </si>
  <si>
    <t xml:space="preserve">Изградња зграда и објеката                                                                   </t>
  </si>
  <si>
    <t xml:space="preserve">Капитално одржавање зграда и објеката                                                                  </t>
  </si>
  <si>
    <t xml:space="preserve">Пројектно планирање                                                                     </t>
  </si>
  <si>
    <t xml:space="preserve">Машине и опрема                                                                    </t>
  </si>
  <si>
    <t xml:space="preserve">Залихе материјала                                                                     </t>
  </si>
  <si>
    <t xml:space="preserve">Рудна богатства                                                                     </t>
  </si>
  <si>
    <t xml:space="preserve">Издаци за отплату главнице и набавку финансијске имовине                                                               </t>
  </si>
  <si>
    <t xml:space="preserve">Отплата главнице                                                                     </t>
  </si>
  <si>
    <t xml:space="preserve">Отплате главнице домаћим кредиторима                                                                   </t>
  </si>
  <si>
    <t xml:space="preserve">Отплата главнице на домаће хартије од вредности, изузев акција                                                              </t>
  </si>
  <si>
    <t xml:space="preserve">Отплата главнице осталим нивоима власти                                                                  </t>
  </si>
  <si>
    <t xml:space="preserve">Отплата главнице домаћим јавним финансијским институцијама                                                                 </t>
  </si>
  <si>
    <t xml:space="preserve">Отплата главнице домаћим пословним банкама                                                                  </t>
  </si>
  <si>
    <t xml:space="preserve">Отплата главнице осталим домаћим кредиторима                                                                  </t>
  </si>
  <si>
    <t xml:space="preserve">Отплата главнице домаћинствима у земљи                                                                  </t>
  </si>
  <si>
    <t xml:space="preserve">Отплата главнице на домаће финансијске деривате                                                                 </t>
  </si>
  <si>
    <t xml:space="preserve">Отплата домаћих меница                                                                    </t>
  </si>
  <si>
    <t xml:space="preserve">Исправка унутрашњег дуга                                                                    </t>
  </si>
  <si>
    <t xml:space="preserve">Отплата главнице страним кредиторима                                                                   </t>
  </si>
  <si>
    <t xml:space="preserve">Отплата главнице на хартије од вредности, изузев акција, емитоване на иностраном финансијском тржишту                                                          </t>
  </si>
  <si>
    <t xml:space="preserve">Отплата главнице страним владама                                                                   </t>
  </si>
  <si>
    <t xml:space="preserve">Отплата главнице мултилатералним институцијама                                                                   </t>
  </si>
  <si>
    <t xml:space="preserve">Отплате главнице страним пословним банкама                                                                  </t>
  </si>
  <si>
    <t xml:space="preserve">Отплате главнице осталим страним кредиторима                                                                  </t>
  </si>
  <si>
    <t xml:space="preserve">Отплата главнице на стране финансијске деривате                                                                 </t>
  </si>
  <si>
    <t xml:space="preserve">Исправка спољног дуга                                                                    </t>
  </si>
  <si>
    <t xml:space="preserve">Отплата главнице по гаранцијама                                                                   </t>
  </si>
  <si>
    <t xml:space="preserve">Отплата главнице за финансијски лизинг                                                                  </t>
  </si>
  <si>
    <t xml:space="preserve">Набавка финансијске имовине                                                                    </t>
  </si>
  <si>
    <t xml:space="preserve">Набавка домаће финансијске имовине                                                                   </t>
  </si>
  <si>
    <t xml:space="preserve">Набавка домаћих хартија од вредности, изузев акција                                                                </t>
  </si>
  <si>
    <t xml:space="preserve">Кредити домаћим невладиним организацијама у земљи                                                                 </t>
  </si>
  <si>
    <t xml:space="preserve">Набавка домаћих акција и осталог капитала                                                                 </t>
  </si>
  <si>
    <t xml:space="preserve">Набавка стране финансијске имовине                                                                   </t>
  </si>
  <si>
    <t xml:space="preserve">Набавка страних хартија од вредности, изузев акција                                                                </t>
  </si>
  <si>
    <t xml:space="preserve">Набавка страних акција и осталог капитала                                                                 </t>
  </si>
  <si>
    <t xml:space="preserve">Куповина стране валуте                                                                    </t>
  </si>
  <si>
    <t xml:space="preserve">Средства резерве                                                                     </t>
  </si>
  <si>
    <t xml:space="preserve">Стална резерва                                                                     </t>
  </si>
  <si>
    <t xml:space="preserve">Текућа резерва                                                                     </t>
  </si>
  <si>
    <t xml:space="preserve">Куповина стамбеног простора                                                                    </t>
  </si>
  <si>
    <t xml:space="preserve">Куповина стамбеног простора за јавне службенике                                                                 </t>
  </si>
  <si>
    <t xml:space="preserve">Куповина стамбеног простора за социјалне групе                                                                 </t>
  </si>
  <si>
    <t xml:space="preserve">Куповина стамбеног простора за избеглице                                                                  </t>
  </si>
  <si>
    <t xml:space="preserve">Куповина осталог стамбеног простора                                                                   </t>
  </si>
  <si>
    <t xml:space="preserve">Лизинг стамбеног простора                                                                    </t>
  </si>
  <si>
    <t xml:space="preserve">Куповина пословних зграда и пословног простора                                                                 </t>
  </si>
  <si>
    <t xml:space="preserve">Куповина канцеларијских зграда и осталог простора                                                                 </t>
  </si>
  <si>
    <t xml:space="preserve">Куповина болница, домова здравља и старачких домова                                                                </t>
  </si>
  <si>
    <t xml:space="preserve">Куповина објеката за потребе образовања                                                                  </t>
  </si>
  <si>
    <t xml:space="preserve">Куповина ресторана                                                                     </t>
  </si>
  <si>
    <t xml:space="preserve">Куповина одмаралишта                                                                     </t>
  </si>
  <si>
    <t xml:space="preserve">Куповина складишта, силоса, гаража и сл.                                                                 </t>
  </si>
  <si>
    <t xml:space="preserve">Куповина фабричких хала                                                                    </t>
  </si>
  <si>
    <t xml:space="preserve">Лизинг пословних зграда и пословног простора                                                                 </t>
  </si>
  <si>
    <t xml:space="preserve">Куповина осталих објеката                                                                    </t>
  </si>
  <si>
    <t xml:space="preserve">Куповина отворених спортских и рекреационих објеката                                                                 </t>
  </si>
  <si>
    <t xml:space="preserve">Куповина установа културе                                                                    </t>
  </si>
  <si>
    <t xml:space="preserve">Куповина затвора                                                                     </t>
  </si>
  <si>
    <t xml:space="preserve">Изградња стамбеног простора                                                                    </t>
  </si>
  <si>
    <t xml:space="preserve">Изградња стамбеног простора за јавне службенике                                                                 </t>
  </si>
  <si>
    <t xml:space="preserve">Изградња стамбеног простора за социјалне групе                                                                 </t>
  </si>
  <si>
    <t xml:space="preserve">Изградња стамбеног простора за избеглице                                                                  </t>
  </si>
  <si>
    <t xml:space="preserve">Изградња осталих стамбених простора                                                                   </t>
  </si>
  <si>
    <t xml:space="preserve">Изградња пословних зграда и пословног простора                                                                 </t>
  </si>
  <si>
    <t xml:space="preserve">Канцеларијске зграде и пословни простор                                                                  </t>
  </si>
  <si>
    <t xml:space="preserve">Ресторани                                                                      </t>
  </si>
  <si>
    <t xml:space="preserve">Одмаралишта                                                                      </t>
  </si>
  <si>
    <t xml:space="preserve">Складишта, силоси, гараже и слично                                                                  </t>
  </si>
  <si>
    <t xml:space="preserve">Изградња саобраћајних објеката                                                                    </t>
  </si>
  <si>
    <t xml:space="preserve">Аутопутеви, путеви, мостови, надвожњаци и тунели                                                                 </t>
  </si>
  <si>
    <t xml:space="preserve">Изградња водоводне инфраструктуре                                                                    </t>
  </si>
  <si>
    <t xml:space="preserve">Изградња осталих објеката                                                                    </t>
  </si>
  <si>
    <t xml:space="preserve">Плиновод и плинарски радови                                                                   </t>
  </si>
  <si>
    <t xml:space="preserve">Отворени спортски и рекреациони објекти                                                                  </t>
  </si>
  <si>
    <t xml:space="preserve">Изградња система за наводњавање                                                                   </t>
  </si>
  <si>
    <t xml:space="preserve">Капитално одржавање стамбених простора                                                                   </t>
  </si>
  <si>
    <t xml:space="preserve">Капитално одржавање стамбеног простора за јавне службенике                                                                </t>
  </si>
  <si>
    <t xml:space="preserve">Капитално одржавање стамбеног простора за социјалне групе                                                                </t>
  </si>
  <si>
    <t xml:space="preserve">Капитално одржавање стамбеног простора за избеглице                                                                 </t>
  </si>
  <si>
    <t xml:space="preserve">Капитално одржавање другог стамбеног простора                                                                  </t>
  </si>
  <si>
    <t xml:space="preserve">Капитално одржавање пословних зграда и пословног простора                                                                </t>
  </si>
  <si>
    <t xml:space="preserve">Капитално одржавање болница, домова здравља и старачких домова                                                               </t>
  </si>
  <si>
    <t xml:space="preserve">Капитално одржавање објеката за потребе образовања                                                                 </t>
  </si>
  <si>
    <t xml:space="preserve">Капитално одржавање ресторана                                                                    </t>
  </si>
  <si>
    <t xml:space="preserve">Капитално одржавање одмаралишта                                                                    </t>
  </si>
  <si>
    <t xml:space="preserve">Капитално одржавање складишта, силоса, гаража и сл.                                                                </t>
  </si>
  <si>
    <t xml:space="preserve">Капитално одржавање граничних прелаза                                                                   </t>
  </si>
  <si>
    <t xml:space="preserve">Капитално одржавање фабричких хала                                                                   </t>
  </si>
  <si>
    <t xml:space="preserve">Капитално одржавање саобраћајних објеката                                                                   </t>
  </si>
  <si>
    <t xml:space="preserve">Капитално одржавање аутопутева, путева, мостова, надвожњака и тунела                                                               </t>
  </si>
  <si>
    <t xml:space="preserve">Капитално одржавање пруга                                                                    </t>
  </si>
  <si>
    <t xml:space="preserve">Капитално одржавање аеродромских писта                                                                   </t>
  </si>
  <si>
    <t xml:space="preserve">Капитално одржавање водоводне инфраструктуре                                                                   </t>
  </si>
  <si>
    <t xml:space="preserve">Капитално одржавање водовода                                                                    </t>
  </si>
  <si>
    <t xml:space="preserve">Капитално одржавање канализације                                                                    </t>
  </si>
  <si>
    <t xml:space="preserve">Капитално одржавање лука                                                                    </t>
  </si>
  <si>
    <t xml:space="preserve">Капитално одржавање брана                                                                    </t>
  </si>
  <si>
    <t xml:space="preserve">Капитално одржавање осталих објеката                                                                   </t>
  </si>
  <si>
    <t xml:space="preserve">Капитално одржавање плиновода и плинарских радова                                                                 </t>
  </si>
  <si>
    <t xml:space="preserve">Капитално одржавање комуникационих и електричних водова                                                                 </t>
  </si>
  <si>
    <t xml:space="preserve">Капитално одржавање отворених спортских и рекреационих објеката                                                                </t>
  </si>
  <si>
    <t xml:space="preserve">Капитално одржавање установа културе                                                                   </t>
  </si>
  <si>
    <t xml:space="preserve">Капитално одржавање затвора                                                                    </t>
  </si>
  <si>
    <t xml:space="preserve">Капитално одржавање и реконструкција система за наводњавање                                                                </t>
  </si>
  <si>
    <t xml:space="preserve">Планирање и праћење пројекта                                                                   </t>
  </si>
  <si>
    <t xml:space="preserve">Процене изводљивости                                                                     </t>
  </si>
  <si>
    <t xml:space="preserve">Идејни пројекат                                                                     </t>
  </si>
  <si>
    <t xml:space="preserve">Стручна оцена и коментари                                                                   </t>
  </si>
  <si>
    <t xml:space="preserve">Пројектна документација                                                                     </t>
  </si>
  <si>
    <t xml:space="preserve">Аутомобили                                                                      </t>
  </si>
  <si>
    <t xml:space="preserve">Трактори                                                                      </t>
  </si>
  <si>
    <t xml:space="preserve">Комбији                                                                      </t>
  </si>
  <si>
    <t xml:space="preserve">Камиони                                                                      </t>
  </si>
  <si>
    <t xml:space="preserve">Теренска возила                                                                     </t>
  </si>
  <si>
    <t xml:space="preserve">Мотоцикли                                                                      </t>
  </si>
  <si>
    <t xml:space="preserve">Бицикли                                                                      </t>
  </si>
  <si>
    <t xml:space="preserve">Бродови и чамци                                                                    </t>
  </si>
  <si>
    <t xml:space="preserve">Трајекти                                                                      </t>
  </si>
  <si>
    <t xml:space="preserve">Хеликоптери                                                                      </t>
  </si>
  <si>
    <t xml:space="preserve">Авиони                                                                      </t>
  </si>
  <si>
    <t xml:space="preserve">Писаће машине                                                                     </t>
  </si>
  <si>
    <t xml:space="preserve">Штампачи                                                                      </t>
  </si>
  <si>
    <t xml:space="preserve">Мреже                                                                      </t>
  </si>
  <si>
    <t xml:space="preserve">Телефонске централе с припадајућим инсталацијама и апаратима                                                                </t>
  </si>
  <si>
    <t xml:space="preserve">Мобилни телефони                                                                     </t>
  </si>
  <si>
    <t xml:space="preserve">Електронска опрема                                                                     </t>
  </si>
  <si>
    <t xml:space="preserve">Фотографска опрема                                                                     </t>
  </si>
  <si>
    <t xml:space="preserve">Опрема за домаћинство                                                                    </t>
  </si>
  <si>
    <t xml:space="preserve">Опрема за угоститељство                                                                    </t>
  </si>
  <si>
    <t xml:space="preserve">Пољопривредна опрема                                                                     </t>
  </si>
  <si>
    <t xml:space="preserve">Лизинг пољопривредне опреме                                                                    </t>
  </si>
  <si>
    <t xml:space="preserve">Лизинг опремe за војску                                                                   </t>
  </si>
  <si>
    <t xml:space="preserve">Лизинг опремe за јавну безбедност                                                                  </t>
  </si>
  <si>
    <t xml:space="preserve">Опрема за производњу                                                                    </t>
  </si>
  <si>
    <t xml:space="preserve">Уграђена опрема                                                                     </t>
  </si>
  <si>
    <t xml:space="preserve">Монтирана опрема                                                                     </t>
  </si>
  <si>
    <t xml:space="preserve">Механичка опрема                                                                     </t>
  </si>
  <si>
    <t xml:space="preserve">Немоторизовани алати                                                                     </t>
  </si>
  <si>
    <t xml:space="preserve">Лизинг опреме за производњу, моторна, непокретна и немоторна опрема                                                              </t>
  </si>
  <si>
    <t xml:space="preserve">Лизинг остале некретнине и опрема                                                                  </t>
  </si>
  <si>
    <t xml:space="preserve">Стока                                                                      </t>
  </si>
  <si>
    <t xml:space="preserve">Говеда                                                                      </t>
  </si>
  <si>
    <t xml:space="preserve">Коњи                                                                      </t>
  </si>
  <si>
    <t xml:space="preserve">Магарци, муле, мазге                                                                    </t>
  </si>
  <si>
    <t xml:space="preserve">Свиње                                                                      </t>
  </si>
  <si>
    <t xml:space="preserve">Овце и козе                                                                    </t>
  </si>
  <si>
    <t xml:space="preserve">Живина                                                                      </t>
  </si>
  <si>
    <t xml:space="preserve">Рибе                                                                      </t>
  </si>
  <si>
    <t xml:space="preserve">Пчелињаци                                                                      </t>
  </si>
  <si>
    <t xml:space="preserve">Остала стока                                                                     </t>
  </si>
  <si>
    <t xml:space="preserve">Књиге у библиотеци                                                                    </t>
  </si>
  <si>
    <t xml:space="preserve">Музејски експонати и споменици културе                                                                  </t>
  </si>
  <si>
    <t xml:space="preserve">Визуелна уметност                                                                     </t>
  </si>
  <si>
    <t xml:space="preserve">Скулптуре                                                                      </t>
  </si>
  <si>
    <t xml:space="preserve">Архивска грађа                                                                     </t>
  </si>
  <si>
    <t xml:space="preserve">Природне реткости                                                                     </t>
  </si>
  <si>
    <t xml:space="preserve">Остала књижевна и уметничка дела                                                                  </t>
  </si>
  <si>
    <t xml:space="preserve">Издаци за патенте и технологију, техничку и технолошку документацију                                                              </t>
  </si>
  <si>
    <t xml:space="preserve">Лиценце                                                                      </t>
  </si>
  <si>
    <t xml:space="preserve">Концесије                                                                      </t>
  </si>
  <si>
    <t xml:space="preserve">Заштитни знак, индустријска заштитна права, занатска и слична права                                                              </t>
  </si>
  <si>
    <t xml:space="preserve">Остала заштићена права и интелектуална својина (компјутерски програми, трајна ауторска права и слично)                                                          </t>
  </si>
  <si>
    <t xml:space="preserve">Права кориштења имовине у туђем власништву                                                                 </t>
  </si>
  <si>
    <t xml:space="preserve">Прикључак за телефонске линије                                                                   </t>
  </si>
  <si>
    <t xml:space="preserve">Набавка земљишта                                                                     </t>
  </si>
  <si>
    <t xml:space="preserve">Набавка пољопривредног земљишта                                                                    </t>
  </si>
  <si>
    <t xml:space="preserve">Набавка грађевинског земљишта                                                                    </t>
  </si>
  <si>
    <t xml:space="preserve">Набавка земљишта које се налази испод зграда и објеката                                                              </t>
  </si>
  <si>
    <t xml:space="preserve">Набавка спортских терена и придружених водених површина                                                                </t>
  </si>
  <si>
    <t xml:space="preserve">Набавка другог земљишта и придружених водених површина                                                                </t>
  </si>
  <si>
    <t xml:space="preserve">Побољшања земљишта                                                                     </t>
  </si>
  <si>
    <t xml:space="preserve">Побољшања пољопривредног земљишта                                                                    </t>
  </si>
  <si>
    <t xml:space="preserve">Побољшања грађевинског земљишта                                                                    </t>
  </si>
  <si>
    <t xml:space="preserve">Побољшања земљишта које се налази испод зграда и објеката                                                              </t>
  </si>
  <si>
    <t xml:space="preserve">Побољшања спортских терена и придружене водене површине                                                                </t>
  </si>
  <si>
    <t xml:space="preserve">Побољшања другог земљишта и придружене водене површине                                                                </t>
  </si>
  <si>
    <t xml:space="preserve">Набавка угља, нафте и природног гаса                                                                 </t>
  </si>
  <si>
    <t xml:space="preserve">Набавка минералних резерви метала                                                                   </t>
  </si>
  <si>
    <t xml:space="preserve">Побољшања копова                                                                     </t>
  </si>
  <si>
    <t xml:space="preserve">Побољшање копова                                                                     </t>
  </si>
  <si>
    <t xml:space="preserve">Побољшања угља, нафте и природног гаса                                                                 </t>
  </si>
  <si>
    <t xml:space="preserve">Побољшање металних минералних резерви                                                                   </t>
  </si>
  <si>
    <t xml:space="preserve">Набавка шума                                                                     </t>
  </si>
  <si>
    <t xml:space="preserve">Побољшања шуме                                                                     </t>
  </si>
  <si>
    <t xml:space="preserve">Побољшања шума                                                                     </t>
  </si>
  <si>
    <t xml:space="preserve">Набавка воде                                                                     </t>
  </si>
  <si>
    <t xml:space="preserve">Побољшања воде                                                                     </t>
  </si>
  <si>
    <t xml:space="preserve">Нефинансијска имовина која се финансира из средстава за реализацију националног инвестиционог плана                                                           </t>
  </si>
  <si>
    <t xml:space="preserve">Нефинансијска имовина која се финансира из средстава за реализацију националног инвестиционог плана на територији ап војводине                                                       </t>
  </si>
  <si>
    <t xml:space="preserve">Отплата главнице домаћим кредиторима                                                                   </t>
  </si>
  <si>
    <t xml:space="preserve">Отплата главнице на домаће краткорочне хартије од вредности, изузев акција                                                             </t>
  </si>
  <si>
    <t xml:space="preserve">Отплата главнице на домаће дугорочне хартије од вредности, изузев акција                                                             </t>
  </si>
  <si>
    <t xml:space="preserve">Дисконти на домаће дугорочне хартије од вредности, изузев акција                                                              </t>
  </si>
  <si>
    <t xml:space="preserve">Отплата главнице нивоу републике                                                                   </t>
  </si>
  <si>
    <t xml:space="preserve">Отплата главнице нивоу територијалних аутономија                                                                  </t>
  </si>
  <si>
    <t xml:space="preserve">Отплата главнице нивоу градова                                                                   </t>
  </si>
  <si>
    <t xml:space="preserve">Отплата главнице нивоу општина                                                                   </t>
  </si>
  <si>
    <t xml:space="preserve">Отплата главнице организацијама обавезног социјалног осигурања                                                                 </t>
  </si>
  <si>
    <t xml:space="preserve">Отплата главнице републичком фонду за здравствено осигурање                                                                </t>
  </si>
  <si>
    <t xml:space="preserve">Отплата главнице републичком фонду за пио                                                                 </t>
  </si>
  <si>
    <t xml:space="preserve">Отплата главнице националној служби за запошљавање                                                                 </t>
  </si>
  <si>
    <t xml:space="preserve">Отплата главнице нбс                                                                    </t>
  </si>
  <si>
    <t xml:space="preserve">Отплата главнице осталим домаћим јавним финансијским институцијама                                                                </t>
  </si>
  <si>
    <t xml:space="preserve">Исправка унутрашњег дуга од осталих нивоа власти за средства отплаћена у току фискалне године                                                         </t>
  </si>
  <si>
    <t xml:space="preserve">Исправка унутрашњег дуга од осталих домаћих кредитора за средства отплаћена у току фискалне године                                                         </t>
  </si>
  <si>
    <t xml:space="preserve">Отплата главнице на краткорочне хартије од вредности, изузев акција, емитоване на иностраном финансијском тржишту                                                         </t>
  </si>
  <si>
    <t xml:space="preserve">Отплата главнице на  дугорочне хартије од вредности, изузев акција, емитоване на иностраном финансијском тржишту                                                        </t>
  </si>
  <si>
    <t xml:space="preserve">Отплата главнице на дугорочне хартије од вредности, изузев акција, емитоване на иностраном финансијском тржишту                                                         </t>
  </si>
  <si>
    <t xml:space="preserve">Дисконти на дугорочне хартије од вредности, изузев акција, емитоване на иностраном финансијском тржишту                                                          </t>
  </si>
  <si>
    <t xml:space="preserve">Отплата главнице париском клубу                                                                   </t>
  </si>
  <si>
    <t xml:space="preserve">Отплата главнице страним извозно увозним банкама                                                                 </t>
  </si>
  <si>
    <t xml:space="preserve">Отплата главнице осталим страним владама                                                                  </t>
  </si>
  <si>
    <t xml:space="preserve">Отплата главнице светској банци                                                                   </t>
  </si>
  <si>
    <t xml:space="preserve">Отплата главнице ibrd                                                                    </t>
  </si>
  <si>
    <t xml:space="preserve">Отплата главнице ebrd                                                                    </t>
  </si>
  <si>
    <t xml:space="preserve">Отплата главнице eib                                                                    </t>
  </si>
  <si>
    <t xml:space="preserve">Отплата главнице ceb                                                                    </t>
  </si>
  <si>
    <t xml:space="preserve">Отплата главнице осталим мултилатералним институцијама                                                                  </t>
  </si>
  <si>
    <t xml:space="preserve">Отплата главнице страним пословним банкама                                                                  </t>
  </si>
  <si>
    <t xml:space="preserve">Отплата главнице лондонском клубу                                                                   </t>
  </si>
  <si>
    <t xml:space="preserve">Отплата главнице осталим страним пословним банкама                                                                 </t>
  </si>
  <si>
    <t xml:space="preserve">Отплата главнице осталим страним кредиторима                                                                  </t>
  </si>
  <si>
    <t xml:space="preserve">Исправка спољног дуга за средства отплаћена у фискалној години                                                              </t>
  </si>
  <si>
    <t xml:space="preserve">Отплата главнице зa финансијски лизинг                                                                  </t>
  </si>
  <si>
    <t xml:space="preserve">Набавка домаћих краткорочних хартија од вредности, изузев акција                                                               </t>
  </si>
  <si>
    <t xml:space="preserve">Кредити домаћим нефинансијским јавним институцијама                                                                  </t>
  </si>
  <si>
    <t xml:space="preserve">Кредити физичким лицима у земљи, за потребе становања                                                               </t>
  </si>
  <si>
    <t xml:space="preserve">Кредити физичким лицима у земљи, за комерцијалне потребе                                                               </t>
  </si>
  <si>
    <t xml:space="preserve">Кредити невладиним организацијама у земљи                                                                  </t>
  </si>
  <si>
    <t xml:space="preserve">Учешће капитала у домаћим нефинансијским јавним предузећима и институцијама                                                              </t>
  </si>
  <si>
    <t xml:space="preserve">Учешће капитала у осталим јавним финансијским институцијама у земљи                                                              </t>
  </si>
  <si>
    <t xml:space="preserve">Набавка страних краткорочних хартија од вредности, изузев акција                                                               </t>
  </si>
  <si>
    <t xml:space="preserve">Набавка страних дугорочних хартија од вредности, изузев акција                                                               </t>
  </si>
  <si>
    <t xml:space="preserve">Набавка финансијске имовине која се финансира из средстава за реализацију  националног инвестиционог плана                                                         </t>
  </si>
  <si>
    <t xml:space="preserve">Набавка финансијске имовине која се финансира из средстава за реализацију националног инвестиционог плана                                                          </t>
  </si>
  <si>
    <t xml:space="preserve">Контра књижење – издаци за отплату главнице и набавку финансијске имовине                                                            </t>
  </si>
  <si>
    <t>700000</t>
  </si>
  <si>
    <t xml:space="preserve">Текући приходи                                                                     </t>
  </si>
  <si>
    <t xml:space="preserve">Порези                                                                      </t>
  </si>
  <si>
    <t xml:space="preserve">Порез на доходак, добит и капиталне добитке                                                                </t>
  </si>
  <si>
    <t xml:space="preserve">Порези на доходак и капиталне добитке које плаћају физичка лица                                                             </t>
  </si>
  <si>
    <t xml:space="preserve">Порез на зараде                                                                    </t>
  </si>
  <si>
    <t xml:space="preserve">Порез на приходе од самосталних делатности                                                                 </t>
  </si>
  <si>
    <t xml:space="preserve">Порез на приходе од самосталних делатности који се плаћа према стварно оствареном приходу, по решењу пореске управе                                                      </t>
  </si>
  <si>
    <t xml:space="preserve">Порез на приходе од самосталних делатности који се плаћа према паушално утврђеном приходу, по решењу пореске управе                                                      </t>
  </si>
  <si>
    <t xml:space="preserve">Порез на приходе од ауторских права                                                                 </t>
  </si>
  <si>
    <t xml:space="preserve">Порез на приходе од ауторских права, права сродних ауторском праву и права индустријске својине                                                         </t>
  </si>
  <si>
    <t xml:space="preserve">Порез на приходе од имовине                                                                  </t>
  </si>
  <si>
    <t xml:space="preserve">Порез на дивиденде и уделе у добити                                                                </t>
  </si>
  <si>
    <t xml:space="preserve">Порез на приходе од камате                                                                  </t>
  </si>
  <si>
    <t xml:space="preserve">Порез на приходе од непокретности                                                                  </t>
  </si>
  <si>
    <t xml:space="preserve">Порез на капиталне добитке, по решењу пореске управе                                                               </t>
  </si>
  <si>
    <t xml:space="preserve">Порез на приходе од давања у закуп покретних ствари                                                              </t>
  </si>
  <si>
    <t xml:space="preserve">Порез на приход од пољопривреде и шумарства, по решењу пореске управе                                                            </t>
  </si>
  <si>
    <t xml:space="preserve">Порез на земљиште                                                                    </t>
  </si>
  <si>
    <t xml:space="preserve">Порез на приходе од непокретности, по решењу пореске управе                                                              </t>
  </si>
  <si>
    <t xml:space="preserve">Порез на приходе од давања у закуп покретних ствари, по решењу пореске управе                                                          </t>
  </si>
  <si>
    <t xml:space="preserve">Порез на добитке од игара на срећу                                                                </t>
  </si>
  <si>
    <t xml:space="preserve">Порез на приходе од осигурања лица                                                                 </t>
  </si>
  <si>
    <t xml:space="preserve">Годишњи порез на доходак грађана                                                                  </t>
  </si>
  <si>
    <t xml:space="preserve">Самодоприноси                                                                      </t>
  </si>
  <si>
    <t xml:space="preserve">Самодопринос према зарадама запослених и по основу пензија на територији месне заједнице и општине                                                         </t>
  </si>
  <si>
    <t xml:space="preserve">Самодопринос према зарадама запослених и по основу пензија на територији града                                                            </t>
  </si>
  <si>
    <t xml:space="preserve">Самодопринос из прихода од пољопривреде и шумарства                                                                </t>
  </si>
  <si>
    <t xml:space="preserve">Самодопринос из прихода лица која се баве самосталном делатношћу                                                              </t>
  </si>
  <si>
    <t xml:space="preserve">Самодопринос на вредност имовине                                                                   </t>
  </si>
  <si>
    <t xml:space="preserve">Порез на друге приходе                                                                   </t>
  </si>
  <si>
    <t xml:space="preserve">Порез на остале приходе                                                                   </t>
  </si>
  <si>
    <t xml:space="preserve">Порез на непријављени приход утврђен унакрсном проценом                                                                </t>
  </si>
  <si>
    <t xml:space="preserve">Порез на приходе спортиста и спортских стручњака                                                                </t>
  </si>
  <si>
    <t xml:space="preserve">Порез по одбитку за приходе по основу извођења естрадног, забавног, уметничког, спортског или сличног програма                                                        </t>
  </si>
  <si>
    <t xml:space="preserve">Порез по одбитку на накнаду исплаћену по основу промета секундарних сировина и отпада                                                          </t>
  </si>
  <si>
    <t xml:space="preserve">Порези на добит и капиталне добитке које плаћају предузећа и друга правна лица                                                          </t>
  </si>
  <si>
    <t xml:space="preserve">Порез на добит предузећа                                                                   </t>
  </si>
  <si>
    <t xml:space="preserve">Порез на добит правних лица                                                                  </t>
  </si>
  <si>
    <t xml:space="preserve">Порез на добит правних лица који се као порез по одбитку обрачунава на дивиденде које се исплаћују резидентима                                                     </t>
  </si>
  <si>
    <t xml:space="preserve">Порез на добит правних лица који се обрачунава и наплаћује као порез по одбитку на дивиденде које се исплаћују нерезидентима                                                   </t>
  </si>
  <si>
    <t xml:space="preserve">Порез на добит правних лица који се као порез по одбитку обрачунава на камате које се исплаћују нерезидентима                                                     </t>
  </si>
  <si>
    <t xml:space="preserve">Порез на добит правних лица који се као порез по одбитку обрачунава на ауторске накнаде које се исплаћују нерезидентима                                                    </t>
  </si>
  <si>
    <t xml:space="preserve">Порез на добит правних лица који се као порез по одбитку обрачунава на капиталне добитке које остваре нерезиденти                                                     </t>
  </si>
  <si>
    <t xml:space="preserve">Порез на добит правних лица који се као порез по одбитку обрачунава на накнаде по основу закупа непокретности и покретних ствари које се исплаћују нерезидентима                                              </t>
  </si>
  <si>
    <t xml:space="preserve">Порез на добит правних лица који се као порез по одбитку обрачунава на приходе које остварују нерезидентна правна лица, по основу вишка стечајне масе, односно расподеле ликвидационог остатка                                           </t>
  </si>
  <si>
    <t xml:space="preserve">Порези на доходак, добит и капиталне добитке који се не могу разврстати између физичких и правних лица                                                      </t>
  </si>
  <si>
    <t xml:space="preserve">Порез на фонд зарада                                                                   </t>
  </si>
  <si>
    <t xml:space="preserve">Порез на фонд зарада запослених који се финансирају из буџета и фондова обавезног социјалног осигурања                                                        </t>
  </si>
  <si>
    <t xml:space="preserve">Порез на фонд зарада осталих запослених                                                                 </t>
  </si>
  <si>
    <t xml:space="preserve">Порез на фонд зарада лица која остварују приходе од ауторских права и права индустријске својине                                                        </t>
  </si>
  <si>
    <t xml:space="preserve">Порез на имовину                                                                    </t>
  </si>
  <si>
    <t xml:space="preserve">Периодични порези на непокретности                                                                   </t>
  </si>
  <si>
    <t xml:space="preserve">Посебан порез на необрађено обрадиво пољопривредно земљиште                                                                </t>
  </si>
  <si>
    <t xml:space="preserve">Посебан порез на необрађено обрадиво пољопривредно земљиште, по решењу пореске управе                                                            </t>
  </si>
  <si>
    <t xml:space="preserve">Порез на имовину (осим на земљиште, акције и уделе) од физичких лица                                                           </t>
  </si>
  <si>
    <t xml:space="preserve">Порез на имовину (осим на земљиште, акције и уделе) од правних лица                                                           </t>
  </si>
  <si>
    <t xml:space="preserve">Периодични порези на нето имовину                                                                  </t>
  </si>
  <si>
    <t xml:space="preserve">Порези на заоставштину, наслеђе и поклон                                                                 </t>
  </si>
  <si>
    <t xml:space="preserve">Порез на наслеђе и поклон                                                                  </t>
  </si>
  <si>
    <t xml:space="preserve">Порез на наслеђе и поклон по решењу пореске управе                                                              </t>
  </si>
  <si>
    <t xml:space="preserve">Порези на финансијске и капиталне трансакције                                                                 </t>
  </si>
  <si>
    <t xml:space="preserve">Порез на капиталне трансакције                                                                   </t>
  </si>
  <si>
    <t xml:space="preserve">Порез на пренос апсолутних права на непокретности, по решењу пореске управе                                                            </t>
  </si>
  <si>
    <t xml:space="preserve">Порез на пренос апсолутних права на акцијама и другим хартијама од вредности, по решењу пореске управе                                                       </t>
  </si>
  <si>
    <t xml:space="preserve">Порез на пренос апсолутних права на половним моторним возилима и пловним објектима, по решењу пореске управе                                                       </t>
  </si>
  <si>
    <t xml:space="preserve">Порез на пренос апсолутних права на осталим објектима, по решењу пореске управе                                                           </t>
  </si>
  <si>
    <t xml:space="preserve">Други једнократни порези на имовину                                                                  </t>
  </si>
  <si>
    <t xml:space="preserve">Други периодични порези на имовину                                                                  </t>
  </si>
  <si>
    <t xml:space="preserve">Порез на акције на име и уделе                                                                </t>
  </si>
  <si>
    <t xml:space="preserve">Порез на добра и услуге                                                                  </t>
  </si>
  <si>
    <t xml:space="preserve">Општи порези на добра и услуге                                                                 </t>
  </si>
  <si>
    <t xml:space="preserve">Порези на додату вредност                                                                   </t>
  </si>
  <si>
    <t xml:space="preserve">Порез на промет дуванских прерађевина, алкохолних пића и кафе                                                              </t>
  </si>
  <si>
    <t xml:space="preserve">Порез на додату вредност при увозу                                                                 </t>
  </si>
  <si>
    <t xml:space="preserve">Порез на додату вредност за промет добара домаћег порекла са територије ап косово и метохија на територију републике ван територије ап косово и метохија                                               </t>
  </si>
  <si>
    <t xml:space="preserve">Једнофазни порези на промет                                                                   </t>
  </si>
  <si>
    <t xml:space="preserve">Порез на промет производа (општи режим)                                                                 </t>
  </si>
  <si>
    <t xml:space="preserve">Порез на промет лекова са посебне листе                                                                </t>
  </si>
  <si>
    <t xml:space="preserve">Порез на промет осталих лекова, медицинских средстава, ортопедских помагала и слично                                                            </t>
  </si>
  <si>
    <t xml:space="preserve">Порез на промет производа остварен при увозу                                                                </t>
  </si>
  <si>
    <t xml:space="preserve">Такса на продајну цену робе у слободним царинским продавницама                                                              </t>
  </si>
  <si>
    <t xml:space="preserve">Накнада за стављање у промет заштићених дивљих биљних и животињских врста                                                            </t>
  </si>
  <si>
    <t xml:space="preserve">Средства црвеног крста србије по члану 15. закона о црвеном крсту србије – током „недеље црвеног крста” од 8. до 15. маја и „недеље солидарности” од 14. до 21. септембра                                         </t>
  </si>
  <si>
    <t xml:space="preserve">Средства црвеног крста србије по члану 16. закона о црвеном крсту србије – од сваке продате карте за манифестације међународног карактера (културне, забавне, спортске и слично) током целе календарске године                                         </t>
  </si>
  <si>
    <t xml:space="preserve">Порез на промет нових моторних возила                                                                 </t>
  </si>
  <si>
    <t xml:space="preserve">Кумулативни вишефазни порези на промет                                                                  </t>
  </si>
  <si>
    <t xml:space="preserve">Порез на промет услуга промета производа на велико                                                               </t>
  </si>
  <si>
    <t xml:space="preserve">Порез на промет комуналних услуга                                                                  </t>
  </si>
  <si>
    <t xml:space="preserve">Порез на промет финансијских услуга (камате за дате кредите и позајмице, банкарске и друге услуге, услуге платног промета, берзанске услуге и услуге осигурања и реосигурања)                                              </t>
  </si>
  <si>
    <t xml:space="preserve">Порез на промет угоститељских и туристичких услуга                                                                </t>
  </si>
  <si>
    <t xml:space="preserve">Порез на промет услуга организовања приредби и естрада                                                               </t>
  </si>
  <si>
    <t xml:space="preserve">Порез на промет услуга приређивања игара на срећу                                                               </t>
  </si>
  <si>
    <t xml:space="preserve">Порез на промет услуга од приређивања игара на срећу помоћу аутомата, који се плаћа у паушалном износу                                                      </t>
  </si>
  <si>
    <t xml:space="preserve">Порез на промет услуга у годишњем паушалном износу, по решењу пореске  управе                                                          </t>
  </si>
  <si>
    <t xml:space="preserve">Порез на промет осталих услуга                                                                  </t>
  </si>
  <si>
    <t xml:space="preserve">Порез на премије неживотних осигурања                                                                  </t>
  </si>
  <si>
    <t xml:space="preserve">Добит фискалних монопола                                                                    </t>
  </si>
  <si>
    <t xml:space="preserve">Порези на појединачне услуге                                                                   </t>
  </si>
  <si>
    <t xml:space="preserve">Комунална такса за приређивање музичког програма у угоститељским објектима                                                              </t>
  </si>
  <si>
    <t xml:space="preserve">Комунална такса за држање музичких уређаја и приређивање музичког програма у угоститељским објектима                                                          </t>
  </si>
  <si>
    <t xml:space="preserve">Комунална такса за коришћење рекламних паноа                                                                 </t>
  </si>
  <si>
    <t xml:space="preserve">Средства за ванредне ситуације                                                                   </t>
  </si>
  <si>
    <t xml:space="preserve">Средства остварена на основу издвајања осигуравајућих друштава у висини 0,05 од наплаћене премије осигурања од пожара и других опасности у корист буџетског фонда за ванредне ситуације                                             </t>
  </si>
  <si>
    <t xml:space="preserve">Средства правних лица која за осигурање од пожара своје имовине оснивају властите осигуравајуће фондове у висини 0,03 од премије осигурања од пожара у корист буџетског фонда за ванредне ситуације                                          </t>
  </si>
  <si>
    <t xml:space="preserve">Средства остварена на основу издвајања осигуравајућих друштава у висини 0,05 од прихода наплаћеног обавезног осигурања транспорта опасних материја у друмском, железничком, речном и ваздушном саобраћају у корист буџетског фонда за ванредне ситуације                                       </t>
  </si>
  <si>
    <t xml:space="preserve">Средства наплаћена од привредних субјеката на годишњем нивоу, који се баве производњом, прерадом, ускладиштењем, дистрибуцијом и продајом запаљивих течности, експлозивних материја и гасова, по основу укупних инсталационих капацитета ускладиштења и главне мерне регулационе станице на магистралном гасоводу у корист буџетског фонда за ванредне ситуације                           </t>
  </si>
  <si>
    <t xml:space="preserve">Средства остварена на основу издвајања надлежног органа за послове цивилног ваздухопловства, намењена, за потребе службе за трагање и спасавање у случају удеса ваздухоплова у корист буџетског фонда за ванредне ситуације                                         </t>
  </si>
  <si>
    <t xml:space="preserve">Средства остварена по основу 1% прихода од продаје улазница за спортске догађаје, по пријављеном догађају министарству унутрашњих послова у корист буџетског фонда за ванредне ситуације                                              </t>
  </si>
  <si>
    <t xml:space="preserve">Порези, таксе и накнаде на употребу добара, на дозволу да се добра употребљавају или делатности обављају                                                       </t>
  </si>
  <si>
    <t xml:space="preserve">Порези, таксе и накнаде на моторна возила                                                                </t>
  </si>
  <si>
    <t xml:space="preserve">Порез на употребу моторних возила                                                                  </t>
  </si>
  <si>
    <t xml:space="preserve">Посебна такса за регистрацију одређених моторних возила                                                                </t>
  </si>
  <si>
    <t xml:space="preserve">Комунална такса за држање моторних друмских и прикључних возила, осим пољопривредних возила и машина                                                         </t>
  </si>
  <si>
    <t xml:space="preserve">Годишња накнада за моторна возила, тракторе и прикључна возила                                                              </t>
  </si>
  <si>
    <t xml:space="preserve">Годишња накнада за остала возила на моторни погон                                                               </t>
  </si>
  <si>
    <t xml:space="preserve">Посебна накнада за регистрацију одређених возила                                                                 </t>
  </si>
  <si>
    <t xml:space="preserve">Порези на употребу, држање и ношење добара                                                                </t>
  </si>
  <si>
    <t xml:space="preserve">Порез на употребу мобилног телефона                                                                  </t>
  </si>
  <si>
    <t xml:space="preserve">Порез на употребу пловних објеката                                                                  </t>
  </si>
  <si>
    <t xml:space="preserve">Порез на употребу ваздухоплова и летелица                                                                 </t>
  </si>
  <si>
    <t xml:space="preserve">Порез на регистровано оружје                                                                   </t>
  </si>
  <si>
    <t xml:space="preserve">Накнада за ванредни превоз на државном путу                                                                </t>
  </si>
  <si>
    <t xml:space="preserve">Републичке таксе и накнаде за посебне производе и посебне активности                                                             </t>
  </si>
  <si>
    <t xml:space="preserve">Такса за приказивање филмова на телевизији и у средствима јавног превоза                                                            </t>
  </si>
  <si>
    <t xml:space="preserve">Такса за контролну маркицу за видео касете                                                                </t>
  </si>
  <si>
    <t xml:space="preserve">Средства за увођење, функционисање и унапређење система за праћење, контролу и регулисање саобраћаја - видео надзор на путевима од 0,012 бруто премије осигурања од аутоодговорности                                              </t>
  </si>
  <si>
    <t xml:space="preserve">Посебна накнада на цигарете из члана 70. став 2. закона о дувану                                                           </t>
  </si>
  <si>
    <t xml:space="preserve">Накнаде за коришћење добара од општег интереса                                                                </t>
  </si>
  <si>
    <t xml:space="preserve">Накнада за коришћење вода                                                                   </t>
  </si>
  <si>
    <t xml:space="preserve">Накнада за заштиту вода                                                                   </t>
  </si>
  <si>
    <t xml:space="preserve">Накнада за промену намене обрадивог пољопривредног земљишта                                                                </t>
  </si>
  <si>
    <t xml:space="preserve">Накнада за инвестиције у износу од 0,01 предрачунске вредности објекта или радова                                                           </t>
  </si>
  <si>
    <t xml:space="preserve">Накнада за загађивање природних богатстава                                                                  </t>
  </si>
  <si>
    <t xml:space="preserve">Накнада за коришћење рибарских подручја                                                                  </t>
  </si>
  <si>
    <t xml:space="preserve">Накнада за загађивање животне средине                                                                  </t>
  </si>
  <si>
    <t xml:space="preserve">Накнада за супстанце које оштећују озонски омотач и накнада за пластичне кесе                                                           </t>
  </si>
  <si>
    <t xml:space="preserve">Накнада од емисије so2, no2, прашкастих материја и одложеног отпада                                                             </t>
  </si>
  <si>
    <t xml:space="preserve">Концесионе накнаде и боравишне таксе                                                                  </t>
  </si>
  <si>
    <t xml:space="preserve">Концесиона накнада                                                                     </t>
  </si>
  <si>
    <t xml:space="preserve">Боравишна такса                                                                     </t>
  </si>
  <si>
    <t xml:space="preserve">Општинске и градске накнаде                                                                   </t>
  </si>
  <si>
    <t xml:space="preserve">Посебна накнада за заштиту и унапређење животне средине                                                               </t>
  </si>
  <si>
    <t xml:space="preserve">Концесиона накнада за обављање комуналних делатности и приходи од других концесионих послова, које јединице локалне самоуправе закључе у складу са законом                                                  </t>
  </si>
  <si>
    <t xml:space="preserve">Накнада за постављање објеката, односно средстава за оглашавање и других објеката и средстава                                                          </t>
  </si>
  <si>
    <t xml:space="preserve">Општинске и градске комуналне таксе                                                                  </t>
  </si>
  <si>
    <t xml:space="preserve">Комунална такса за држање кућних и егзотичних животиња                                                               </t>
  </si>
  <si>
    <t xml:space="preserve">Комунална такса за држање средстава за игру („забавне игре”)                                                              </t>
  </si>
  <si>
    <t xml:space="preserve">Комунална такса за коришћење витрина ради излагања робе ван пословне просторије                                                            </t>
  </si>
  <si>
    <t xml:space="preserve">Комунална такса за држање и коришћење пловних постројења, пловних направа и других објеката на води, осим пристана који се користе у пограничном речном саобраћају                                               </t>
  </si>
  <si>
    <t xml:space="preserve">Комунална такса за држање и коришћење чамаца и сплавова на води, осим чамаца које користе организације које одржавају и обележавају пловне путеве                                                 </t>
  </si>
  <si>
    <t xml:space="preserve">Комунална такса за држање ресторана и других угоститељских и забавних објеката на води                                                          </t>
  </si>
  <si>
    <t xml:space="preserve">Накнаде за коришћење државних путева                                                                  </t>
  </si>
  <si>
    <t xml:space="preserve">Посебна накнада за употребу државног пута, његовог дела или путног објекта (путарина)                                                           </t>
  </si>
  <si>
    <t xml:space="preserve">Накнада за прикључење прилазног пута на државни пут                                                               </t>
  </si>
  <si>
    <t xml:space="preserve">Накнада за постављање водовода, канализације, електричних, телефонских и телеграфских водова и сл. на државном путу                                                        </t>
  </si>
  <si>
    <t xml:space="preserve">Годишња накнада за коришћење комерцијалних објеката којима је омогућен приступ са државног пута                                                          </t>
  </si>
  <si>
    <t xml:space="preserve">Накнада за употребу државног пута за возила регистрована у иностранству                                                             </t>
  </si>
  <si>
    <t xml:space="preserve">Накнада за прекомерно коришћење државног пута, његовог дела или путног објекта                                                            </t>
  </si>
  <si>
    <t xml:space="preserve">Накнада за изградњу комерцијалних објеката којима је омогућен приступ са државног пута                                                           </t>
  </si>
  <si>
    <t xml:space="preserve">Накнаде за коришћење општинских путева и улица                                                                </t>
  </si>
  <si>
    <t xml:space="preserve">Посебна накнада за употребу општинског пута и улице, њиховог дела или путног објекта, ако је управљач пута надлежни орган локалне самоуправе                                                  </t>
  </si>
  <si>
    <t xml:space="preserve">Накнада за прикључење прилазног пута на општински пут и улицу, ако је управљач пута надлежни орган локалне самоуправе                                                     </t>
  </si>
  <si>
    <t xml:space="preserve">Накнада за постављање водовода, канализације, електричних, телефонских и телеграфских водова и сл. на општинском путу и улици, ако је управљач пута надлежни орган локалне самоуправе                                              </t>
  </si>
  <si>
    <t xml:space="preserve">Годишња накнада за коришћење комерцијалних објеката којима је омогућен приступ са општинског пута и улице, ако је управљач пута надлежни орган локалне самоуправе                                                </t>
  </si>
  <si>
    <t xml:space="preserve">Накнада за постављање објеката и средстава за оглашавање и обавештавање у пределу општинског пута и улице, ако је управљач пута надлежни орган локалне самоуправе                                               </t>
  </si>
  <si>
    <t xml:space="preserve">Накнада за прекомерно коришћење општинског пута, његовог дела или путног објекта, ако је управљач пута надлежни орган локалне самоуправе                                                    </t>
  </si>
  <si>
    <t xml:space="preserve">Накнада за изградњу комерцијалних објеката којима је омогућен приступ са општинског пута , ако је управљач пута надлежни орган локалне самоуправе                                                  </t>
  </si>
  <si>
    <t xml:space="preserve">Накнада за ванредни превоз на општинском путу и улици, ако је управљач пута надлежни орган локалне самоуправе                                                      </t>
  </si>
  <si>
    <t xml:space="preserve">Накнада за закуп делова земљишног појаса општинског пута и улице, ако је управљач пута надлежни орган локалне самоуправе                                                     </t>
  </si>
  <si>
    <t xml:space="preserve">Други порези на добра и услуге                                                                 </t>
  </si>
  <si>
    <t xml:space="preserve">Порез на међународну трговину и трансакције                                                                 </t>
  </si>
  <si>
    <t xml:space="preserve">Царине и друге увозне дажбине                                                                  </t>
  </si>
  <si>
    <t xml:space="preserve">Царинске таксе                                                                     </t>
  </si>
  <si>
    <t xml:space="preserve">Царинске дажбине                                                                     </t>
  </si>
  <si>
    <t xml:space="preserve">Остале увозне дажбине и складиштење                                                                  </t>
  </si>
  <si>
    <t xml:space="preserve">Посебна дажбина на увоз пољопривредних и прехрамбених производа                                                               </t>
  </si>
  <si>
    <t xml:space="preserve">Дажбина за царинско евидентирање                                                                   </t>
  </si>
  <si>
    <t xml:space="preserve">Дажбине за држање роба у царинским магацинима и стовариштима                                                              </t>
  </si>
  <si>
    <t xml:space="preserve">Порези на извоз                                                                    </t>
  </si>
  <si>
    <t xml:space="preserve">Добит извозних или увозних монопола                                                                  </t>
  </si>
  <si>
    <t xml:space="preserve">Добит по основу разлике између куповног и продајног девизног курса                                                             </t>
  </si>
  <si>
    <t xml:space="preserve">Порези на продају или куповину девиза                                                                 </t>
  </si>
  <si>
    <t xml:space="preserve">Други порези на међународну трговину и трансакције                                                                </t>
  </si>
  <si>
    <t>716000</t>
  </si>
  <si>
    <t xml:space="preserve">Други порези                                                                     </t>
  </si>
  <si>
    <t xml:space="preserve">Други порези које искључиво плаћају предузећа, односно предузетници                                                               </t>
  </si>
  <si>
    <t xml:space="preserve">Комунална такса на фирму                                                                   </t>
  </si>
  <si>
    <t>716111</t>
  </si>
  <si>
    <t xml:space="preserve">Комунална такса за истицање фирме на пословном простору                                                               </t>
  </si>
  <si>
    <t xml:space="preserve">Комунална такса за истицање и исписивање фирме ван пословног простора на објектима и просторима који припадају јединици локалне самоуправе (коловози, тротоари, зелене површине, бандере и сл.)                                             </t>
  </si>
  <si>
    <t xml:space="preserve">Други порези које плаћају остала лица или који се не могу идентификовати                                                           </t>
  </si>
  <si>
    <t xml:space="preserve">Средства прикупљена за време „дечије недеље”                                                                 </t>
  </si>
  <si>
    <t xml:space="preserve">Средства остварена продајом доплатне поштанске марке                                                                 </t>
  </si>
  <si>
    <t xml:space="preserve">Средства остварена продајом доплатне поштанске марке „борба против рака”                                                              </t>
  </si>
  <si>
    <t xml:space="preserve">Средства остварена продајом доплатне поштанске марке „борба против сиде”                                                              </t>
  </si>
  <si>
    <t xml:space="preserve">Средства остварена продајом доплатне поштанске марке „изградња спомен-храма светог саве”                                                             </t>
  </si>
  <si>
    <t xml:space="preserve">Средства остварена продајом доплатне поштанске марке „европско првенство у рукомету србија 2012“                                                           </t>
  </si>
  <si>
    <t xml:space="preserve">Средства остварена продајом доплатне поштанске марке „школа без насиља“                                                              </t>
  </si>
  <si>
    <t xml:space="preserve">Средства остварена продајом доплатне поштанске марке „корак напред“                                                               </t>
  </si>
  <si>
    <t xml:space="preserve">Средства остварена продајом доплатне поштанске марке „светско првенство у рвању за кадете србија 2013“                                                         </t>
  </si>
  <si>
    <t xml:space="preserve">Средства остварена продајом доплатне поштанске марке „народна библиотека србије 1832 - 2012“                                                           </t>
  </si>
  <si>
    <t xml:space="preserve">Средства остварена продајом доплатне поштанске марке „медаља се осваја срцем“                                                             </t>
  </si>
  <si>
    <t xml:space="preserve">Aкцизе                                                                      </t>
  </si>
  <si>
    <t xml:space="preserve">Акцизе на деривате нафте                                                                   </t>
  </si>
  <si>
    <t xml:space="preserve">Акцизе на деривате нафте произведене у земљи                                                                </t>
  </si>
  <si>
    <t xml:space="preserve">Акциза на моторни бензин                                                                   </t>
  </si>
  <si>
    <t xml:space="preserve">Акциза на дизел-горива                                                                    </t>
  </si>
  <si>
    <t xml:space="preserve">Акциза на све врсте моторног бензина и све врсте дизел-горива који су продати купцима са територије ап косово и метохија                                                   </t>
  </si>
  <si>
    <t xml:space="preserve">Акциза на остале деривате нафте који се добијају од фракција нафте које имају распон дестилације до 380ºс                                                      </t>
  </si>
  <si>
    <t xml:space="preserve">Акциза на течни нафтни гас                                                                  </t>
  </si>
  <si>
    <t xml:space="preserve">Акциза на оловни бензин                                                                   </t>
  </si>
  <si>
    <t xml:space="preserve">Акциза на безоловни бензин                                                                   </t>
  </si>
  <si>
    <t xml:space="preserve">Акциза на гасна уља                                                                   </t>
  </si>
  <si>
    <t xml:space="preserve">Акциза на керозин                                                                    </t>
  </si>
  <si>
    <t xml:space="preserve">Акцизе на деривате нафте при увозу                                                                 </t>
  </si>
  <si>
    <t xml:space="preserve">Акциза при увозу моторног бензина                                                                  </t>
  </si>
  <si>
    <t xml:space="preserve">Акциза при увозу дизел-горива                                                                   </t>
  </si>
  <si>
    <t xml:space="preserve">Акциза при увозу лож уља                                                                  </t>
  </si>
  <si>
    <t xml:space="preserve">Акциза при увозу осталих деривата нафте који се добијају од фракција нафте које имају распон дестилације до 380ºс                                                     </t>
  </si>
  <si>
    <t xml:space="preserve">Акциза при увозу течног нафтног гаса                                                                 </t>
  </si>
  <si>
    <t xml:space="preserve">Акциза при увозу оловног бензина                                                                  </t>
  </si>
  <si>
    <t xml:space="preserve">Акциза  при увозу безоловног бензина                                                                 </t>
  </si>
  <si>
    <t xml:space="preserve">Акциза при увозу гасних уља                                                                  </t>
  </si>
  <si>
    <t xml:space="preserve">Акциза при увозу керозина                                                                   </t>
  </si>
  <si>
    <t xml:space="preserve">Акцизе на адитиве и екстендере за додавање у погонска горива произведена у земљи                                                          </t>
  </si>
  <si>
    <t xml:space="preserve">Акциза на адитиве и екстендере за безоловни бензин                                                               </t>
  </si>
  <si>
    <t xml:space="preserve">Акциза на адитиве и екстендере за гасна уља                                                               </t>
  </si>
  <si>
    <t xml:space="preserve">Акциза на адитиве и екстендере за керозин                                                                </t>
  </si>
  <si>
    <t xml:space="preserve">Акциза на адитиве и екстендере за течни нафтни гас                                                              </t>
  </si>
  <si>
    <t xml:space="preserve">Акцизе при увозу адитива и екстендера за додавање у погонска горива                                                            </t>
  </si>
  <si>
    <t xml:space="preserve">Акциза при увозу адитива и екстендера за безоловни бензин                                                              </t>
  </si>
  <si>
    <t xml:space="preserve">Акциза при увозу адитива и екстендера за гасна уља                                                              </t>
  </si>
  <si>
    <t xml:space="preserve">Акциза при увозу адитива и екстендера за керозин                                                               </t>
  </si>
  <si>
    <t xml:space="preserve">Акциза при увозу адитива и екстендера за течни нафтни гас                                                             </t>
  </si>
  <si>
    <t xml:space="preserve">Акцизе на биогорива и биотечности                                                                  </t>
  </si>
  <si>
    <t xml:space="preserve">Акциза на биогорива и биотечности произведене у земљи                                                               </t>
  </si>
  <si>
    <t xml:space="preserve">Акциза на биогорива и биотечности из увоза                                                                </t>
  </si>
  <si>
    <t xml:space="preserve">Акцизе на дуванске прерађевине                                                                   </t>
  </si>
  <si>
    <t xml:space="preserve">Акциза на дуванске прерађевине произведене у земљи                                                                </t>
  </si>
  <si>
    <t xml:space="preserve">Акциза на цигарете групе а                                                                  </t>
  </si>
  <si>
    <t xml:space="preserve">Акциза на цигарете групе б                                                                  </t>
  </si>
  <si>
    <t xml:space="preserve">Акциза на цигарете групе ц                                                                  </t>
  </si>
  <si>
    <t xml:space="preserve">Акциза на цигарете произведене у земљи                                                                 </t>
  </si>
  <si>
    <t xml:space="preserve">Акциза на остале дуванске прерађевине                                                                  </t>
  </si>
  <si>
    <t xml:space="preserve">Акциза на дуванске прерађевине при увозу                                                                 </t>
  </si>
  <si>
    <t xml:space="preserve">Акциза при увозу цигарете групе а                                                                 </t>
  </si>
  <si>
    <t xml:space="preserve">Акциза на цигарете из увоза                                                                  </t>
  </si>
  <si>
    <t xml:space="preserve">Акциза при увозу осталих дуванских прерађевина                                                                 </t>
  </si>
  <si>
    <t xml:space="preserve">Акцизе на алкохолна пића                                                                   </t>
  </si>
  <si>
    <t xml:space="preserve">Акциза на алкохолна пића произведена у земљи                                                                </t>
  </si>
  <si>
    <t xml:space="preserve">Акциза на пиво                                                                    </t>
  </si>
  <si>
    <t xml:space="preserve">Акциза на природну ракију и вињак                                                                 </t>
  </si>
  <si>
    <t xml:space="preserve">Акциза на нискоалкохолна пића                                                                   </t>
  </si>
  <si>
    <t xml:space="preserve">Акциза на жестока алкохолна пића и ликере                                                                </t>
  </si>
  <si>
    <t xml:space="preserve">Акциза на ракије од воћа, грожђа, специјалне ракије                                                               </t>
  </si>
  <si>
    <t xml:space="preserve">Акциза на ракије од житарица и осталих пољопривредних сировина                                                              </t>
  </si>
  <si>
    <t xml:space="preserve">Акциза на остала алкохолна пића                                                                  </t>
  </si>
  <si>
    <t xml:space="preserve">Акциза на алкохолна пића при увозу                                                                 </t>
  </si>
  <si>
    <t xml:space="preserve">Акциза при увозу пива                                                                   </t>
  </si>
  <si>
    <t xml:space="preserve">Акциза при увозу природне ракије и вињака                                                                </t>
  </si>
  <si>
    <t xml:space="preserve">Акциза на нискоалкохолна пића из увоза                                                                 </t>
  </si>
  <si>
    <t xml:space="preserve">Акциза при увозу жестоких алкохолних пића и ликера                                                               </t>
  </si>
  <si>
    <t xml:space="preserve">Акциза при увозу вискија, џина, коњака и осталих алкохолних пића                                                             </t>
  </si>
  <si>
    <t xml:space="preserve">Акциза при увозу ракија од воћа, грожђа и специјалних ракија                                                             </t>
  </si>
  <si>
    <t xml:space="preserve">Акциза при увозу ракија од житарица и осталих пољопривредних сировина                                                             </t>
  </si>
  <si>
    <t xml:space="preserve">Акцизе на освежавајућа безалкохолна пића                                                                  </t>
  </si>
  <si>
    <t xml:space="preserve">Акциза при увозу освежавајућих безалкохолних пића                                                                 </t>
  </si>
  <si>
    <t xml:space="preserve">Акциза на кафу                                                                    </t>
  </si>
  <si>
    <t xml:space="preserve">Акциза при увозу кафе                                                                   </t>
  </si>
  <si>
    <t xml:space="preserve">Акциза при увозу кафе (сирова, пржена, млевена и екстракт кафе)                                                             </t>
  </si>
  <si>
    <t xml:space="preserve">Акциза при увозу непржене кафе                                                                  </t>
  </si>
  <si>
    <t xml:space="preserve">Акциза при увозу пржене кафе                                                                  </t>
  </si>
  <si>
    <t xml:space="preserve">Акциза при увозу љуспица и опни од кафе                                                               </t>
  </si>
  <si>
    <t xml:space="preserve">Акциза при увозу екстракта, есенције и концентрата од кафе                                                              </t>
  </si>
  <si>
    <t xml:space="preserve">Акциза при увозу кафе из члана 14. став 1. тач. 5) до 8) закона о акцизама                                                       </t>
  </si>
  <si>
    <t xml:space="preserve">Друге акцизе                                                                     </t>
  </si>
  <si>
    <t xml:space="preserve">Посебна такса за изравнање пореског оптерећења за робу која се упућује на територију аутономне покрајине косово и метохија                                                     </t>
  </si>
  <si>
    <t xml:space="preserve">Такса на добра која се допремају са територије аутономне покрајине косово и метохија, а на која се не плаћа акциза                                                   </t>
  </si>
  <si>
    <t xml:space="preserve">Једнократни порез на екстра профит и екстра имовину стечену коришћењем посебних погодности                                                           </t>
  </si>
  <si>
    <t xml:space="preserve">Порез на доходак, добит и капиталну добит на терет физичких лица                                                            </t>
  </si>
  <si>
    <t xml:space="preserve">Једнократни порез по основу привилеговане исплате замрзнуте старе девизне штедње и штедње у пирамидалним банкама у износу већем од 10000 dem по штедном улогу                                               </t>
  </si>
  <si>
    <t xml:space="preserve">Једнократни порез по основу привилеговане исплате замрзнуте старе девизне штедње и штедње у пирамидалним банкама у износу већем од 10000 dem по штедном улогу, по решењу пореске управе                                           </t>
  </si>
  <si>
    <t xml:space="preserve">Порез на доходак, добит и капиталну добит на терет предузећа и осталих правних лица                                                         </t>
  </si>
  <si>
    <t xml:space="preserve">Једнократни порез по основу коришћења средстава примарне и сиве емисије новца у финансијским трансакцијама                                                         </t>
  </si>
  <si>
    <t xml:space="preserve">Једнократни порез по основу коришћења средстава примарне и сиве емисије новца у финансијским трансакцијама, по решењу пореске управе                                                     </t>
  </si>
  <si>
    <t xml:space="preserve">Једнократни порез по основу куповине девиза по званичном курсу народне банке југославије у ситуацији када је тржишни курс био виши                                                   </t>
  </si>
  <si>
    <t xml:space="preserve">Једнократни порез по основу куповине девиза по званичном курсу народне банке југославије у ситуацији када је тржишни курс био виши, по решењу пореске управе                                               </t>
  </si>
  <si>
    <t xml:space="preserve">Једнократни порез по основу изношења девиза по основу авансног плаћања увоза који касније није реализован, односно по основу фактурисаних, а неизвршених услуга                                                 </t>
  </si>
  <si>
    <t xml:space="preserve">Једнократни порез по основу изношења девиза по основу авансног плаћања увоза који касније није реализован, односно по основу фактурисаних, а неизвршених услуга, по решењу пореске управе                                             </t>
  </si>
  <si>
    <t xml:space="preserve">Једнократни порез по основу увоза и извоза производа на режиму контингента или квоте, остварен коришћењем посебних погодности за добијање контингента, односно квоте                                                 </t>
  </si>
  <si>
    <t xml:space="preserve">Једнократни порез по основу увоза и извоза производа на режиму контингента или квоте, остварен коришћењем посебних погодности за добијање контингента, односно квоте по решењу пореске управе                                             </t>
  </si>
  <si>
    <t xml:space="preserve">Једнократни порез по основу коришћења средстава правног лица на која нису плаћене прописане јавне дажбине (коришћење средстава непредатог пазара, других средстава од наплаћених потраживања која нису приказана као приход и др.)                                        </t>
  </si>
  <si>
    <t xml:space="preserve">Једнократни порез по основу коришћења средстава правног лица на која нису плаћене прописане јавне дажбине (коришћење средстава непредатог пазара, других средстава од наплаћених потраживања која нису приказана као приход и др.) , по решењу пореске управе                                   </t>
  </si>
  <si>
    <t xml:space="preserve">Једнократни порез на екстра профит и екстра имовину стечену употребом јавних средстава или других јавних ресурса под привилегованим условима                                                    </t>
  </si>
  <si>
    <t xml:space="preserve">Једнократни порез по основу снабдевања робних резерви и куповине из робних резерви под привилегованим условима (без јавне лицитације, односно непосредном погодбом) , по решењу пореске управе                                             </t>
  </si>
  <si>
    <t xml:space="preserve">Једнократни порез по основу располагања буџетским средствима, средствима организација обавезног социјалног осигурања, средствима јавних фондова и средствима јавних предузећа и јавних установа супротно прописима, односно утврђеној намени, по решењу пореске управе                                        </t>
  </si>
  <si>
    <t xml:space="preserve">Једнократни порез по основу коришћења средстава јавних прихода депонованих по камати нижој од камате која би се у тренутку депоновања могла постићи на тржишту, за пласман по вишој каматној стопи, по решењу пореске управе                                     </t>
  </si>
  <si>
    <t xml:space="preserve">Једнократни порез по основу ненаменског коришћења средстава додељених по основу дневница солидарности, средстава остварених од посебне таксе на пословне трансакције, доприноса солидарности на пословне трансакције за отклањање последица земљотреса у колубарском округу и других јавних прихода са сличном наменом, по решењу пореске управе                            </t>
  </si>
  <si>
    <t xml:space="preserve">Једнократни порез по основу коришћења средстава по основу зајма за привредни развој србије, по решењу пореске управе                                                      </t>
  </si>
  <si>
    <t xml:space="preserve">Порез на доходак, добит и капиталну добит нераспоредив између физичких и правних лица                                                          </t>
  </si>
  <si>
    <t xml:space="preserve">Једнократни порез по основу коришћења кредита за стицање пословног простора или других непокретности, односно опреме, под условима повољнијим за дужника од тржишних                                                 </t>
  </si>
  <si>
    <t xml:space="preserve">Једнократни порез по основу коришћења кредита за стицање пословног простора или других непокретности, односно опреме, под условима повољнијим за дужника од тржишних, по решењу пореске управе                                             </t>
  </si>
  <si>
    <t xml:space="preserve">Једнократни порез по основу пословања јавним средствима или средствима друштвених, мешовитих, односно државних предузећа, или њихово коришћење, од стране физичког или правног лица, по основу трансферисања тих средстава у иностранство на рачун тога лица или на рачун другог физичког или правног лица                             </t>
  </si>
  <si>
    <t xml:space="preserve">Једнократни порез по основу пословања јавним средствима или средствима друштвених, мешовитих, односно државних предузећа, или њихово коришћење, од стране физичког или правног лица, по основу трансферисања тих средстава у иностранство на рачун тога лица или на рачун другог физичког или правног лица, по решењу пореске управе                         </t>
  </si>
  <si>
    <t xml:space="preserve">Једнократни порез по основу коришћења средстава депонованих од стране грађана у пирамидалним банкама и штедионицама као позајмица                                                      </t>
  </si>
  <si>
    <t xml:space="preserve">Једнократни порез по основу коришћења средстава депонованих од стране грађана у пирамидалним банкама и штедионицама као позајмица, по решењу пореске управе                                                  </t>
  </si>
  <si>
    <t xml:space="preserve">Остали једнократни порези на имовину                                                                  </t>
  </si>
  <si>
    <t xml:space="preserve">Једнократни порез по основу злоупотреба у приватизацији предузећа од старне директора и чланова органа управљања или чланова њихових породица                                                    </t>
  </si>
  <si>
    <t xml:space="preserve">Једнократни порез по основу злоупотреба у приватизацији предузећа од стране директора и чланова органа управљања или чланова њихових породица, по решењу пореске управе                                                </t>
  </si>
  <si>
    <t xml:space="preserve">Једнократни порез по основу откупа стана (станова) укупне површине веће од 90 метара квадратних од стране изабраног, постављеног или именованог функционера, функционера политичке странке, директора или члана органа управљања правног лица у државној, друштвеној или мешовитој својини са претежним учешћем друштвеног капитала, осим ако одговарајућим општим актом није било предвиђено право на стан веће површине, у којем се случају као припадајућа узима тако предвиђена површина, по решењу пореске управе  </t>
  </si>
  <si>
    <t xml:space="preserve">Једнократни порез по основу коришћења кредита по посебним погодностима за куповину, односно за откуп стана (станова) , по решењу пореске управе                                                  </t>
  </si>
  <si>
    <t xml:space="preserve">Једнократни порез по основу изградње репрезентативног стамбеног, односно пословног објекта, чија је укупна површина већа од прописане и дозвољене, по решењу пореске управе                                                </t>
  </si>
  <si>
    <t xml:space="preserve">Једнократни порез по основу куповине градског грађевинског или пољопривредног земљишта које је било у друштвеној својини од стране изабраног, постављеног или именованог лица, односно функционера локалне самоуправе, те чланова његове породице, када је на лицитацији учествовало само једно лице, по решењу пореске управе                            </t>
  </si>
  <si>
    <t xml:space="preserve">Остали порези које плаћају искључиво предузећа и предузетници                                                               </t>
  </si>
  <si>
    <t xml:space="preserve">Једнократни порез по основу увоза и дистрибуције акцизних производа без плаћања царина, других увозних дажбина, акциза, других пореза на потрошњу и пореза на промет                                               </t>
  </si>
  <si>
    <t xml:space="preserve">Једнократни порез по основу увоза и дистрибуције акцизних производа без плаћања царина, других увозних дажбина, акциза, других пореза на потрошњу и пореза на промет, по решењу пореске управе                                           </t>
  </si>
  <si>
    <t xml:space="preserve">Остали порези које плаћају друга или неидентификована лица                                                               </t>
  </si>
  <si>
    <t xml:space="preserve">Једнократни порез по различитим основама                                                                  </t>
  </si>
  <si>
    <t xml:space="preserve">Једнократни порез по различитим основама, по решењу пореске управе                                                              </t>
  </si>
  <si>
    <t xml:space="preserve">Социјални доприноси                                                                     </t>
  </si>
  <si>
    <t xml:space="preserve">Доприноси за социјално осигурање                                                                   </t>
  </si>
  <si>
    <t xml:space="preserve">Доприноси за социјално осигурање на терет запослених                                                                </t>
  </si>
  <si>
    <t xml:space="preserve">Доприноси за пензијско и инвалидско осигурање                                                                 </t>
  </si>
  <si>
    <t xml:space="preserve">Допринос за пензијско и инвалидско осигурање запослених на терет запослених код правних лица                                                          </t>
  </si>
  <si>
    <t xml:space="preserve">Допринос за пензијско и инвалидско осигурање за запослене код физичких лица на терет запослених                                                         </t>
  </si>
  <si>
    <t xml:space="preserve">Допринос за пензијско и инвалидско осигурање запослених који су у радном односу код приватних послодаваца (самосталних делатности) на терет запослених                                                   </t>
  </si>
  <si>
    <t xml:space="preserve">Допринос за пензијско и инвалидско осигурање за лица на продуженом осигурању                                                            </t>
  </si>
  <si>
    <t xml:space="preserve">Допринос за пензијско и инвалидско осигурање за докуп стажа                                                              </t>
  </si>
  <si>
    <t xml:space="preserve">Допринос за пензијско и инвалидско осигурање запослених који обављају послове преко омладинских задруга на терет задругара                                                       </t>
  </si>
  <si>
    <t xml:space="preserve">Допринос за пензијско и инвалидско осигурање запослених који остварују накнаду по основу ауторског права, уговора о делу и других новчаних накнада на терет примаоца накнаде                                              </t>
  </si>
  <si>
    <t xml:space="preserve">Допринос за пензијско и инвалидско осигурање на терет запослених - за војне осигуранике                                                          </t>
  </si>
  <si>
    <t xml:space="preserve">Допринос за пензијско и инвалидско осигурање војних осигураника који остварују накнаду по основу ауторског права, уговора о делу и других новчаних накнада на терет примаоца накнаде                                             </t>
  </si>
  <si>
    <t xml:space="preserve">Доприноси за здравствено осигурање                                                                   </t>
  </si>
  <si>
    <t xml:space="preserve">Допринос за здравствено осигурање запослених на терет запослених                                                               </t>
  </si>
  <si>
    <t xml:space="preserve">Допринос за здравствено осигурање запослених на терет запослених - за војне осигуранике                                                           </t>
  </si>
  <si>
    <t xml:space="preserve">Доприноси за случај незапослености                                                                   </t>
  </si>
  <si>
    <t xml:space="preserve">Допринос за осигурање за случај незапослености на терет запослених                                                              </t>
  </si>
  <si>
    <t xml:space="preserve">Доприноси за социјално осигурање на терет послодавца                                                                </t>
  </si>
  <si>
    <t xml:space="preserve">Допринос за пензијско и инвалидско осигурање запослених на терет послодавца који се финансира из буџета и фондова обавезног социјалног осигурања                                                   </t>
  </si>
  <si>
    <t xml:space="preserve">Допринос за пензијско и инвалидско осигурање запослених на терет послодавца-правног лица које се не финансира из буџета и фондова обавезног социјалног осигурања                                                 </t>
  </si>
  <si>
    <t xml:space="preserve">Допринос за пензијско и инвалидско осигурање за запослене код физичких лица на терет послодавца                                                         </t>
  </si>
  <si>
    <t xml:space="preserve">Допринос за пензијско и инвалидско осигурање запослених који су у радном односу код приватних послодаваца (предузетника) на терет послодавца                                                    </t>
  </si>
  <si>
    <t xml:space="preserve">Додатни допринос за пензијско и инвалидско осигурање запослених на исплаћена лична примања и друге приходе запослених, којима се стаж осигурања рачуна са увећаним трајањем који плаћа послодавац                                            </t>
  </si>
  <si>
    <t xml:space="preserve">Додатни допринос за пензијско и инвалидско осигурање запослених на исплаћена лична примања и друге приходе запослених, којима се стаж осигурања рачуна са увећаним трајањем који плаћа послодавац који се финансира из буџета и фондова обавезног социјалног осигурања                                  </t>
  </si>
  <si>
    <t xml:space="preserve">Допринос за пензијско и инвалидско осигурање лица на породиљском одсуству који плаћа исплатилац накнаде зараде, односно плате                                                      </t>
  </si>
  <si>
    <t xml:space="preserve">Допринос за пензијско и инвалидско осигурање запослених који обављају послове преко омладинских задруга на терет послодавца                                                       </t>
  </si>
  <si>
    <t xml:space="preserve">Допринос за пензијско и инвалидско осигурање војних осигураника - на терет послодавца, додатни допринос за пензијско и инвалидско осигурање војних осигураника на исплаћена лична примања и друге приходе војних осигураника, којима се стаж осигурања рачуна са увећаним трајањем који плаћа послодавац, допринос за пензијско и инвалидско осигурање војних осигураника на породиљском одсуству који плаћа исплатилац накнаде зараде, односно плате            </t>
  </si>
  <si>
    <t xml:space="preserve">Допринос за здравствено осигурање запослених на терет послодавца који се финансира из буџета и фондова обавезног социјалног осигурања                                                     </t>
  </si>
  <si>
    <t xml:space="preserve">Допринос за здравствено осигурање запослених на терет послодавца који се не финансира из буџета и фондова обавезног социјалног осигурања                                                    </t>
  </si>
  <si>
    <t xml:space="preserve">Допринос за здравствено осигурање лица на породиљском одсуству који плаћа исплатилац накнаде зараде, односно плате                                                        </t>
  </si>
  <si>
    <t xml:space="preserve">Допринос за здравствено осигурање за лица која остварују друге приходе на терет послодавца који се финансира из буџета и фондова обавезног социјалног осигурања                                                </t>
  </si>
  <si>
    <t xml:space="preserve">Допринос за здравствено осигурање за лица која остварују друге приходе на терет послодавца који се не финансира из буџета и фондова обавезног социјалног осигурања                                               </t>
  </si>
  <si>
    <t xml:space="preserve">Допринос за здравствено осигурање запослених на терет послодавца - за војне осигуранике                                                           </t>
  </si>
  <si>
    <t xml:space="preserve">Допринос за осигурање за случај незапослености на терет послодавца који се финансира из буџета и фондова обавезног социјалног осигурања                                                    </t>
  </si>
  <si>
    <t xml:space="preserve">Допринос за осигурање за случај незапослености на терет послодавца који се не финансира из буџета и фондова обавезног социјалног осигурања                                                   </t>
  </si>
  <si>
    <t xml:space="preserve">Допринос за осигурање од незапослености лица на породиљском одсуству који плаћа исплатилац накнаде, односно плате                                                        </t>
  </si>
  <si>
    <t xml:space="preserve">Доприноси за социјално осигурање лица која обављају самосталну делатност и незапослених лица                                                           </t>
  </si>
  <si>
    <t xml:space="preserve">Допринос за пензијско и инвалидско осигурање за лица којима се обезбеђују права за случај инвалидности и телесног оштећења проузрокованих повредом на раду или професионалном болешћу                                              </t>
  </si>
  <si>
    <t xml:space="preserve">Допринос за пензијско и инвалидско осигурање лица која се баве пољопривредом (пољопривредник, члан домаћинства пољопривредника и мешовитог домаћинства, носилац или члан регистрованог пољопривредног газдинства) , по решењу пореске управе                                          </t>
  </si>
  <si>
    <t xml:space="preserve">Допринос за пензијско и инвалидско осигурање за лица која у складу са законом самостално обављају привредну или другу делатност, свештеника и верских службеника, ако нису обавезно осигурани по основу запослења и лица која су оснивачи, односно власници привредних друштава који у њима раде, по решењу пореске управе                        </t>
  </si>
  <si>
    <t xml:space="preserve">Допринос за пензијско и инвалидско осигурање лица која су оснивачи, односно чланови привредних друштава, који су у радном односу у привредном друштву чији су оснивач, односно члан                                            </t>
  </si>
  <si>
    <t xml:space="preserve">Допринос за пензијско и инвалидско осигурање осигураника самосталних делатности, који обављају послове по основу уговора о делу, ауторских уговора, односно других уговора                                                 </t>
  </si>
  <si>
    <t xml:space="preserve">Допринос за пензијско и инвалидско осигурање пољопривредника који остварују накнаду по основу ауторског права, патената и техничких унапређења, уговора о делу и других уговора                                               </t>
  </si>
  <si>
    <t xml:space="preserve">Допринос за пензијско и инвалидско осигурање лица којима је обавеза плаћања доприноса утврђена од стране пензијског фонда у поступку утврђивања својства осигураника пољопривредника по члану 63. закона о доприносима за обавезно социјално осигурање                                      </t>
  </si>
  <si>
    <t xml:space="preserve">Допринос за пензијско и инвалидско осигурање којима је обавеза плаћања доприноса утврђена од стране пензијског фонда у поступку утврђивања својства осигураника самосталних делатности по члану 63. закона о доприносима за обавезно социјално осигурање                                      </t>
  </si>
  <si>
    <t xml:space="preserve">Додатни допринос за пензијско и инвалидско осигурање за стаж осигураника са увећаним трајањем лица која обављају самосталну делатност, по решењу републичког фонда за пензијско и инвалидско осигурање                                            </t>
  </si>
  <si>
    <t xml:space="preserve">Допринос за здравствено осигурање пољопривредника који се баве пољопривредом ако нису запослени или не обављају самосталну делатност као основно занимање, по решењу пореске управе                                               </t>
  </si>
  <si>
    <t xml:space="preserve">Допринос за здравствено осигурање других физичких лица која су власници, имаоци права коришћења или плодоуживања пољопривредног или шумског земљишта                                                    </t>
  </si>
  <si>
    <t xml:space="preserve">Допринос за здравствено осигурање лица која самостално обављају делатност као основно занимање, оснивача, односно власника предузећа и радњи                                                     </t>
  </si>
  <si>
    <t xml:space="preserve">Допринос за здравствено осигурање лица која остварују приходе од ауторских права, патената или техничких унапређења                                                        </t>
  </si>
  <si>
    <t xml:space="preserve">Допринос за здравствено осигурање лица која самостално обављају делатност као основно занимање, оснивача, односно власника предузећа и радњи, по решењу пореске управе                                                 </t>
  </si>
  <si>
    <t xml:space="preserve">Допринос за осигурање за случај незапослености лица која самостално обављају делатност, по решењу пореске управе                                                        </t>
  </si>
  <si>
    <t xml:space="preserve">Допринос за осигурање за случај незапослености осигураника који остварују приходе од ауторских права, патената и техничких унапређења                                                      </t>
  </si>
  <si>
    <t xml:space="preserve">Доприноси за социјално осигурање који се не могу разврстати                                                              </t>
  </si>
  <si>
    <t xml:space="preserve">Допринос за пензијско и инвалидско осигурање за осигуранике запослене, за лица којима се накнадно утврђује стаж осигурања по решењу републичког фонда за пио                                                </t>
  </si>
  <si>
    <t xml:space="preserve">Допринос за пензијско и инвалидско осигурање за добровољно осигурање                                                              </t>
  </si>
  <si>
    <t xml:space="preserve">Допринос за пензијско и инвалидско осигурање запослених, за лица која се укључују у обавезно осигурање                                                        </t>
  </si>
  <si>
    <t xml:space="preserve">Допринос за пензијско и инвалидско осигурање по члану 120. закона о пензијском и инвалидском осигурању, који за обвезнике, обуставом 41699 месечног износа пензије уплаћује републички фонд за пензијско и инвалидско осигурање за осигуранике самосталних делатности, по решењу пореске управе                                </t>
  </si>
  <si>
    <t xml:space="preserve">Допринос за пензијско и инвалидско осигурање по члану 13. закона о уплати доприноса за пензијско и инвалидско осигурање за поједине категорије осигураника – запослених, који за осигуранике уплаћује републички фонд за пензијско и инвалидско осигурање за осигуранике самосталних делатности                                </t>
  </si>
  <si>
    <t xml:space="preserve">Допринос за пензијско и инвалидско осигурање по члану 120. закона о пензијском и инвалидском осигурању, који за обвезнике, обуставом 41699 месечног износа пензије уплаћује републички фонд за пензијско и инвалидско осигурање за осигуранике пољопривреднике, по решењу пореске управе                                 </t>
  </si>
  <si>
    <t xml:space="preserve">Допринос за пензијско и инвалидско осигурање по члану 120. закона о пензијском и инвалидском осигурању, који за обвезнике самосталне делатности, обуставом 41699 месечног износа пензија, уплаћује републички фонд за пензијско и инвалидско осигурање, по решењу пореске управе                                  </t>
  </si>
  <si>
    <t xml:space="preserve">Допринос за пензијско и инвалидско осигурање по члану 120. закона о пензијском и инвалидском осигурању, који за обвезнике пољопривреднике, обуставом 41699 месечног износа пензија, уплаћује републички фонд за пензијско и инвалидско осигурање по решењу пореске управе                                   </t>
  </si>
  <si>
    <t xml:space="preserve">Допринос за пензијско и инвалидско осигурање за лица која, у складу са законом, самостално обављају привредну или другу делатност, свештеника и верских службеника, а осигурани по другом основу, по решењу пореске управе                                       </t>
  </si>
  <si>
    <t xml:space="preserve">Приходи по основу неуплаћеног доприноса за здравствено осигурање по судским решењима                                                            </t>
  </si>
  <si>
    <t xml:space="preserve">Допринос за здравствено осигурање страних држављана на школовању или стручном усавршавању                                                            </t>
  </si>
  <si>
    <t xml:space="preserve">Допринос за здравствено осигурање лица која се укључују у обавезно здравствено осигурање                                                           </t>
  </si>
  <si>
    <t xml:space="preserve">Остали социјални доприноси                                                                    </t>
  </si>
  <si>
    <t xml:space="preserve">Социјални доприноси на терет осигураника                                                                  </t>
  </si>
  <si>
    <t xml:space="preserve">Социјални доприноси на терет послодаваца                                                                  </t>
  </si>
  <si>
    <t xml:space="preserve">Импутирани социјални доприноси                                                                    </t>
  </si>
  <si>
    <t>730000</t>
  </si>
  <si>
    <t xml:space="preserve">Донације и трансфери                                                                    </t>
  </si>
  <si>
    <t xml:space="preserve">Донације од иностраних држава                                                                   </t>
  </si>
  <si>
    <t xml:space="preserve">Текуће донације од иностраних држава                                                                  </t>
  </si>
  <si>
    <t xml:space="preserve">Текуће донације од иностраних држава у корист нивоа републике                                                              </t>
  </si>
  <si>
    <t xml:space="preserve">Текуће донације од иностраних држава у корист нивоа територијалних аутономија                                                             </t>
  </si>
  <si>
    <t xml:space="preserve">Текуће донације од иностраних држава у корист нивоа ап војводина                                                             </t>
  </si>
  <si>
    <t xml:space="preserve">Текуће донације од иностраних држава у корист нивоа ап косово и метохија                                                           </t>
  </si>
  <si>
    <t xml:space="preserve">Текуће донације од иностраних држава у корист нивоа градова                                                              </t>
  </si>
  <si>
    <t xml:space="preserve">Текуће донације од иностраних држава у корист нивоа општина                                                              </t>
  </si>
  <si>
    <t xml:space="preserve">Текуће донације од иностраних држава у корист организација обавезног социјалног осигурања                                                            </t>
  </si>
  <si>
    <t xml:space="preserve">Текуће донације од иностраних држава у корист републичког фонда за здравствено осигурање                                                           </t>
  </si>
  <si>
    <t xml:space="preserve">Текуће донације од иностраних држава у корист републичког фонда за пио                                                            </t>
  </si>
  <si>
    <t xml:space="preserve">Текуће донације од иностраних држава у корист националне службе за запошљавање                                                            </t>
  </si>
  <si>
    <t xml:space="preserve">Капиталне донације од иностраних држава                                                                  </t>
  </si>
  <si>
    <t xml:space="preserve">Капиталне донације од иностраних држава у корист нивоа републике                                                              </t>
  </si>
  <si>
    <t xml:space="preserve">Капиталне донације од иностраних држава у корист нивоа територијалних аутономија                                                             </t>
  </si>
  <si>
    <t xml:space="preserve">Капиталне донације од иностраних држава у корист нивоа ап војводина                                                             </t>
  </si>
  <si>
    <t xml:space="preserve">Капиталне донације од иностраних држава у корист нивоа ап косово и метохија                                                           </t>
  </si>
  <si>
    <t xml:space="preserve">Капиталне донације од иностраних држава у корист нивоа градова                                                              </t>
  </si>
  <si>
    <t xml:space="preserve">Капиталне донације од иностраних држава у корист нивоа општина                                                              </t>
  </si>
  <si>
    <t xml:space="preserve">Капиталне донације од иностраних држава у корист организација обавезног социјалног осигурања                                                            </t>
  </si>
  <si>
    <t xml:space="preserve">Капиталне донације од иностраних држава у корист републичког фонда за здравствено осигурање                                                           </t>
  </si>
  <si>
    <t xml:space="preserve">Капиталне донације од иностраних држава у корист републичког фонда за пио                                                            </t>
  </si>
  <si>
    <t xml:space="preserve">Капиталне донације од иностраних држава у корист националне службе за запошљавање                                                            </t>
  </si>
  <si>
    <t>732000</t>
  </si>
  <si>
    <t xml:space="preserve">Донације од међународних организација                                                                   </t>
  </si>
  <si>
    <t xml:space="preserve">Текуће донације од међународних организација                                                                  </t>
  </si>
  <si>
    <t xml:space="preserve">Текуће донације од међународних организација у корист нивоа републике                                                              </t>
  </si>
  <si>
    <t xml:space="preserve">Текуће донације од међународних организација у корист нивоа територијалних аутономија                                                             </t>
  </si>
  <si>
    <t xml:space="preserve">Текуће донације од међународних организација у корист нивоа ап војводина                                                             </t>
  </si>
  <si>
    <t xml:space="preserve">Текуће донације од међународних организација у корист нивоа ап косово и метохија                                                           </t>
  </si>
  <si>
    <t xml:space="preserve">Текуће донације од међународних организација у корист нивоа градова                                                              </t>
  </si>
  <si>
    <t xml:space="preserve">Текуће донације од међународних организација у корист нивоа општина                                                              </t>
  </si>
  <si>
    <t xml:space="preserve">Текуће донације од међународних организација у корист организација обавезног социјалног осигурања                                                            </t>
  </si>
  <si>
    <t xml:space="preserve">Текуће донације од међународних организација у корист републичког фонда за здравствено осигурање                                                           </t>
  </si>
  <si>
    <t xml:space="preserve">Текуће донације од међународних организација у корист републичког фонда за пио                                                            </t>
  </si>
  <si>
    <t xml:space="preserve">Текуће донације од међународних организација у корист националнe службe за запошљавање                                                            </t>
  </si>
  <si>
    <t xml:space="preserve">Капиталне донације од међународних организација                                                                  </t>
  </si>
  <si>
    <t xml:space="preserve">Капиталне донације од међународних организација у корист нивоа републике                                                              </t>
  </si>
  <si>
    <t xml:space="preserve">Капиталне донације од међународних организација у корист нивоа територијалних аутономија                                                             </t>
  </si>
  <si>
    <t xml:space="preserve">Капиталне донације од међународних организација у корист нивоа ап војводина                                                             </t>
  </si>
  <si>
    <t xml:space="preserve">Капиталне донације од међународних организација у корист нивоа ап косово и метохија                                                           </t>
  </si>
  <si>
    <t xml:space="preserve">Капиталне донације од међународних организација у корист нивоа градова                                                              </t>
  </si>
  <si>
    <t xml:space="preserve">Капиталне донације од међународних организација у корист нивоа општина                                                              </t>
  </si>
  <si>
    <t xml:space="preserve">Капиталне донације од међународних организација у корист организација обавезног социјалног осигурања                                                            </t>
  </si>
  <si>
    <t xml:space="preserve">Капиталне донације од међународних организација у корист републичког фонда за здравствено осигурање                                                           </t>
  </si>
  <si>
    <t xml:space="preserve">Капиталне донације од међународних организација у корист републичког фонда за пио                                                            </t>
  </si>
  <si>
    <t xml:space="preserve">Капиталне донације од међународних организација у корист националне службе за запошљавање                                                            </t>
  </si>
  <si>
    <t>733000</t>
  </si>
  <si>
    <t xml:space="preserve">Трансфери од других нивоа власти                                                                  </t>
  </si>
  <si>
    <t xml:space="preserve">Текући трансфери од других нивоа власти                                                                 </t>
  </si>
  <si>
    <t xml:space="preserve">Текући трансфери од других нивоа власти у корист нивоа републике                                                             </t>
  </si>
  <si>
    <t xml:space="preserve">Текући трансфери од републике и од других нивоа власти у корист нивоа територијалних аутономија                                                         </t>
  </si>
  <si>
    <t xml:space="preserve">Текући трансфери од републике у корист нивоа ап војводина                                                              </t>
  </si>
  <si>
    <t xml:space="preserve">Текући трансфери од републике у корист нивоа ап косово и метохија                                                            </t>
  </si>
  <si>
    <t xml:space="preserve">Текући трансфери од градова у корист  ап војводина                                                              </t>
  </si>
  <si>
    <t xml:space="preserve">Текући трансфери од градова  у корист  ап косово и метохија                                                           </t>
  </si>
  <si>
    <t xml:space="preserve">Текући трансфери од општина у корист  ап војводина                                                              </t>
  </si>
  <si>
    <t xml:space="preserve">Текући трансфери од општина у корист  ап косово и метохија                                                            </t>
  </si>
  <si>
    <t xml:space="preserve">Текући трансфери од других нивоа власти у корист нивоа градова                                                             </t>
  </si>
  <si>
    <t xml:space="preserve">Ненаменски трансфери од републике у корист нивоа градова                                                               </t>
  </si>
  <si>
    <t xml:space="preserve">Други текући трансфери од републике у корист нивоа градова                                                              </t>
  </si>
  <si>
    <t xml:space="preserve">Функционални трансфери од републике у корист нивоа градова                                                               </t>
  </si>
  <si>
    <t xml:space="preserve">Текући наменски трансфери, у ужем смислу, од републике у корист нивоа градова                                                           </t>
  </si>
  <si>
    <t xml:space="preserve">Функционални трансфери од ап војводина у корист нивоа градова                                                              </t>
  </si>
  <si>
    <t xml:space="preserve">Текући наменски трансфери, у ужем смислу, од ап војводина у корист нивоа градова                                                          </t>
  </si>
  <si>
    <t xml:space="preserve">Текући трансфери од општина у корист нивоа градова                                                               </t>
  </si>
  <si>
    <t xml:space="preserve">Ненаменски трансфери од ап војводина у корист нивоа општина                                                              </t>
  </si>
  <si>
    <t xml:space="preserve">Текући трансфери од других нивоа власти у корист нивоа општина                                                             </t>
  </si>
  <si>
    <t xml:space="preserve">Ненаменски трансфери од републике  у корист нивоа општина                                                              </t>
  </si>
  <si>
    <t xml:space="preserve">Други текући трансфери од републике у корист нивоа општина                                                              </t>
  </si>
  <si>
    <t xml:space="preserve">Функционални трансфери од републике у корист нивоа општина                                                               </t>
  </si>
  <si>
    <t xml:space="preserve">Текући наменски трансфери, у ужем смислу, од републике у корист нивоа општина                                                           </t>
  </si>
  <si>
    <t xml:space="preserve">Функционални трансфери од ап војводина у корист нивоа општина                                                              </t>
  </si>
  <si>
    <t xml:space="preserve">Текући наменски трансфери, у ужем смислу, од ап војводина у корист нивоа општина                                                          </t>
  </si>
  <si>
    <t xml:space="preserve">Текући трансфери градова у корист нивоа општина                                                                </t>
  </si>
  <si>
    <t xml:space="preserve">Текући трансфери од других нивоа власти у корист организација обавезног социјалног осигурања                                                           </t>
  </si>
  <si>
    <t xml:space="preserve">Текући трансфери од других нивоа власти у корист републичког фонда за здравствено осигурање                                                          </t>
  </si>
  <si>
    <t xml:space="preserve">Текући трансфери од других нивоа власти у корист републичког фонда за пио за осигуранике запослене                                                        </t>
  </si>
  <si>
    <t xml:space="preserve">Текући трансфери од других нивоа власти у корист републичког фонда за пио за осигуранике пољопривреднике                                                        </t>
  </si>
  <si>
    <t xml:space="preserve">Текући трансфери од других нивоа власти у корист републичког фонда за пио за осигуранике самосталних делатности                                                       </t>
  </si>
  <si>
    <t xml:space="preserve">Текући трансфери од других нивоа власти у корист националне службе за запошљавање                                                           </t>
  </si>
  <si>
    <t xml:space="preserve">Текући трансфери по основу доприноса за пензијско и инвалидско осигурање за поједине категорије осигураника – запослених обезбеђен у буџету републике                                                   </t>
  </si>
  <si>
    <t xml:space="preserve">Текући трансфери по основу доприноса за пензијско и инвалидско осигурање запослених за покриће разлике до најнижег износа пензије утврђене у члану 76. и члану 207. став 2. закона о пензијском и инвалидском осигурању                                      </t>
  </si>
  <si>
    <t xml:space="preserve">Допринос за пензијско и инвалидско осигурање пољопривредника за покриће разлике до најнижег износа пензије сагласно члану 76. и члану 207. став 2. закона о пензијском и инвалидском осигурању                                           </t>
  </si>
  <si>
    <t xml:space="preserve">Капитални трансфери од других нивоа власти                                                                 </t>
  </si>
  <si>
    <t xml:space="preserve">Капитални трансфери од других нивоа власти у корист нивоа републике                                                             </t>
  </si>
  <si>
    <t xml:space="preserve">Капитални трансфери од других нивоа власти у корист нивоа територијалних аутономија                                                            </t>
  </si>
  <si>
    <t xml:space="preserve">Капитални трансфери од републике у корист нивоа ап војводина                                                              </t>
  </si>
  <si>
    <t xml:space="preserve">Капитални трансфери од републике у корист нивоа ап косово и метохија                                                            </t>
  </si>
  <si>
    <t xml:space="preserve">Капитални наменски трансфери, у ужем смислу, од градова у корист нивоа ап војводина                                                          </t>
  </si>
  <si>
    <t xml:space="preserve">Капитални наменски трансфери, у ужем смислу, од градова у корист нивоа ап косово и метохија                                                        </t>
  </si>
  <si>
    <t xml:space="preserve">Капитални наменски трансфери, у ужем смислу, од општина у корист нивоа ап војводина                                                          </t>
  </si>
  <si>
    <t xml:space="preserve">Капитални наменски трансфери, у ужем смислу, од општина у корист нивоа ап косово и метохија                                                        </t>
  </si>
  <si>
    <t xml:space="preserve">Капитални трансфери од других нивоа власти у корист нивоа градова                                                             </t>
  </si>
  <si>
    <t xml:space="preserve">Капитални наменски трансфери, у ужем смислу, од републике у корист нивоа градова                                                           </t>
  </si>
  <si>
    <t xml:space="preserve">Капитални наменски трансфери, у ужем смислу, од ап војводина у корист нивоа градова                                                          </t>
  </si>
  <si>
    <t xml:space="preserve">Капитални наменски трансфери, у ужем смислу, од општина у корист нивоа градова                                                           </t>
  </si>
  <si>
    <t xml:space="preserve">Капитални трансфери од других нивоа власти у корист нивоа општина                                                             </t>
  </si>
  <si>
    <t xml:space="preserve">Капитални наменски трансфери, у ужем смислу, од републике у корист нивоа општина                                                           </t>
  </si>
  <si>
    <t xml:space="preserve">Капитални наменски трансфери, у ужем смислу, од ап војводинa у корист нивоа општина                                                          </t>
  </si>
  <si>
    <t xml:space="preserve">Капитални трансфери од градова у корист нивоа општина                                                               </t>
  </si>
  <si>
    <t xml:space="preserve">Капитални трансфери од других нивоа власти у корист организација обавезног социјалног осигурања                                                           </t>
  </si>
  <si>
    <t xml:space="preserve">Капитални трансфери од других нивоа власти у корист републичког фонда за здравствено осигурање                                                          </t>
  </si>
  <si>
    <t xml:space="preserve">Капитални трансфери од других нивоа власти у корист републичког фонда за пио                                                           </t>
  </si>
  <si>
    <t xml:space="preserve">Капитални трансфери од других нивоа власти у корист националне службе за запошљавање                                                           </t>
  </si>
  <si>
    <t>740000</t>
  </si>
  <si>
    <t xml:space="preserve">Други приходи                                                                     </t>
  </si>
  <si>
    <t>741000</t>
  </si>
  <si>
    <t xml:space="preserve">Приходи од имовине                                                                    </t>
  </si>
  <si>
    <t xml:space="preserve">Камате                                                                      </t>
  </si>
  <si>
    <t xml:space="preserve">Камате на средства консолидованог рачуна трезора републике                                                                </t>
  </si>
  <si>
    <t xml:space="preserve">Приходи буџета републике од камата на средства консолидованог рачуна трезора укључена у депозит банака                                                         </t>
  </si>
  <si>
    <t xml:space="preserve">Приходи буџета републике од камата на средства корисника буџета  укључена у депозит банака                                                         </t>
  </si>
  <si>
    <t xml:space="preserve">Камате на средства консолидованог рачуна трезора територијалних аутономија                                                               </t>
  </si>
  <si>
    <t xml:space="preserve">Камате на средства консолидованог рачуна трезора ап војводина укључена у депозит банака                                                           </t>
  </si>
  <si>
    <t xml:space="preserve">Камате на средства консолидованог рачуна трезора ап косово и метохија укључена у депозит банака                                                         </t>
  </si>
  <si>
    <t xml:space="preserve">Камате на средства консолидованог рачуна трезора града                                                                </t>
  </si>
  <si>
    <t xml:space="preserve">Приходи буџета града од камата на средства консолидованог рачуна трезора укључена у депозит банака                                                         </t>
  </si>
  <si>
    <t xml:space="preserve">Приходи од камата на средства корисника буџета града која су укључена у депозит пословне банке са којом надлежни орган града закључи уговор о депоновању средстава по виђењу                                            </t>
  </si>
  <si>
    <t xml:space="preserve">Камате на средства консолидованог рачуна трезора општина                                                                </t>
  </si>
  <si>
    <t xml:space="preserve">Приходи буџета општине од камата на средства консолидованог рачуна трезора укључена у депозит банака                                                         </t>
  </si>
  <si>
    <t xml:space="preserve">Приходи од камата на средства корисника буџета општине укључена у депозите код пословних банака код којих овлашћени општински орган потписује уговор о депоновању средстава по виђењу                                             </t>
  </si>
  <si>
    <t xml:space="preserve">Камате на средства организација обавезног социјалног осигурања                                                                </t>
  </si>
  <si>
    <t xml:space="preserve">Камате на средства републичког фонда за здравствено осигурање                                                               </t>
  </si>
  <si>
    <t xml:space="preserve">Камате на средства републичког фонда за пио                                                                </t>
  </si>
  <si>
    <t xml:space="preserve">Камате на средства националне службе за запошљавање                                                                </t>
  </si>
  <si>
    <t xml:space="preserve">Дивиденде                                                                      </t>
  </si>
  <si>
    <t xml:space="preserve">Дивиденде сцг и нбс                                                                   </t>
  </si>
  <si>
    <t xml:space="preserve">Дивиденде сцг                                                                     </t>
  </si>
  <si>
    <t xml:space="preserve">Вишак прихода по завршном рачуну нбс                                                                 </t>
  </si>
  <si>
    <t xml:space="preserve">Дивиденде буџета републике                                                                    </t>
  </si>
  <si>
    <t xml:space="preserve">Вишак прихода над расходима јавне агенције                                                                 </t>
  </si>
  <si>
    <t xml:space="preserve">Вишак прихода над расходима републичке агенције за електронске комуникације                                                              </t>
  </si>
  <si>
    <t xml:space="preserve">Вишак прихода над расходима републичке радиодифузне агенције                                                                </t>
  </si>
  <si>
    <t xml:space="preserve">Дивиденде буџета територијалних аутономија                                                                   </t>
  </si>
  <si>
    <t xml:space="preserve">Дивиденде буџета ап војводина                                                                   </t>
  </si>
  <si>
    <t xml:space="preserve">Дивиденде буџета ап косово и метохија                                                                 </t>
  </si>
  <si>
    <t xml:space="preserve">Дивиденде буџета градова                                                                    </t>
  </si>
  <si>
    <t xml:space="preserve">Дивиденде буџета општина                                                                    </t>
  </si>
  <si>
    <t xml:space="preserve">Дивиденде организација обавезног социјалног осигурања                                                                  </t>
  </si>
  <si>
    <t xml:space="preserve">Дивиденде републичког фонда за здравствено осигурање                                                                 </t>
  </si>
  <si>
    <t xml:space="preserve">Дивиденде републичког фонда за пио                                                                  </t>
  </si>
  <si>
    <t xml:space="preserve">Дивиденде националне службе за запошљавање                                                                  </t>
  </si>
  <si>
    <t xml:space="preserve">Повлачење прихода од квази корпорација                                                                  </t>
  </si>
  <si>
    <t xml:space="preserve">Приход од имовине који припада имаоцима полиса осигурања                                                               </t>
  </si>
  <si>
    <t>741411</t>
  </si>
  <si>
    <t xml:space="preserve">Приход од имовине који припада имаоцима полиса осигурања републике србије                                                             </t>
  </si>
  <si>
    <t xml:space="preserve">Приход од имовине који припада имаоцима полиса осигурања аутономне покрајине                                                             </t>
  </si>
  <si>
    <t xml:space="preserve">Приход од имовине који припада имоцима полиса осигурања градова                                                              </t>
  </si>
  <si>
    <t xml:space="preserve">Приход од имовине који припада имаоцима полиса осигурања општина                                                              </t>
  </si>
  <si>
    <t xml:space="preserve">Закуп непроизведене имовине                                                                    </t>
  </si>
  <si>
    <t>741510</t>
  </si>
  <si>
    <t xml:space="preserve">Накнада за коришћење природних добара                                                                  </t>
  </si>
  <si>
    <t xml:space="preserve">Накнада за коришћење минералних сировина и геотермалних ресурса                                                               </t>
  </si>
  <si>
    <t xml:space="preserve">Накнада за искрчену шуму                                                                   </t>
  </si>
  <si>
    <t xml:space="preserve">Накнада за посечено дрво                                                                   </t>
  </si>
  <si>
    <t xml:space="preserve">Накнада за коришћење шума и шумског земљишта кад се даје за испашу                                                           </t>
  </si>
  <si>
    <t xml:space="preserve">Накнада за извађени материјал из водотока                                                                 </t>
  </si>
  <si>
    <t xml:space="preserve">Накнада за коришћење минералних сировина и геотермалних ресурса када се експлоатација врши на територији аутономне покрајине                                                       </t>
  </si>
  <si>
    <t xml:space="preserve">Накнада за примењена геолошка истраживања минералних и других геолошких ресурса                                                             </t>
  </si>
  <si>
    <t xml:space="preserve">Накнада за коришћење шумског и пољопривредног земљишта                                                                </t>
  </si>
  <si>
    <t xml:space="preserve">Накнада за коришћење шумског земљишта кад се даје у закуп                                                             </t>
  </si>
  <si>
    <t xml:space="preserve">Средства остварена од давања у закуп пољопривредног земљишта, односно пољопривредног објекта у државној својини                                                         </t>
  </si>
  <si>
    <t xml:space="preserve">Накнада за умањену вредност вишегодишњих засада                                                                 </t>
  </si>
  <si>
    <t xml:space="preserve">Накнада за коришћење ловостајем заштићених врста дивљачи                                                                </t>
  </si>
  <si>
    <t xml:space="preserve">Накнада за ловну карту                                                                   </t>
  </si>
  <si>
    <t xml:space="preserve">Накнада за коришћење шума и шумског земљишта                                                                </t>
  </si>
  <si>
    <t xml:space="preserve">Накнада за заштиту, коришћење и унапређивање општекорисних функција шуме                                                              </t>
  </si>
  <si>
    <t xml:space="preserve">Накнада за промену намене шума                                                                  </t>
  </si>
  <si>
    <t xml:space="preserve">Средства остварена отуђењем шума и шумског земљишта у државној својини                                                             </t>
  </si>
  <si>
    <t xml:space="preserve">Накнада за коришћење простора и грађевинског земљишта                                                                </t>
  </si>
  <si>
    <t>741531</t>
  </si>
  <si>
    <t xml:space="preserve">Комунална такса за коришћење простора на јавним површинама или испред пословног простора у пословне сврхе, осим ради продаје штампе, књига и других публикација, производа старих и уметничких заната и домаће радиности                                        </t>
  </si>
  <si>
    <t>741532</t>
  </si>
  <si>
    <t xml:space="preserve">Комунална такса за коришћење простора за паркирање друмских моторних и прикључних возила на уређеним и обележеним местима                                                      </t>
  </si>
  <si>
    <t>741533</t>
  </si>
  <si>
    <t xml:space="preserve">Комунална такса за коришћење слободних површина за кампове, постављање шатора или друге облике привременог коришћења                                                        </t>
  </si>
  <si>
    <t>741534</t>
  </si>
  <si>
    <t xml:space="preserve">Накнада за коришћење грађевинског земљишта                                                                  </t>
  </si>
  <si>
    <t>741535</t>
  </si>
  <si>
    <t xml:space="preserve">Комунална такса за заузеће јавне површине грађевинским материјалом                                                               </t>
  </si>
  <si>
    <t xml:space="preserve">Приходи остварени по основу давања у закуп станова намењених за решавање стамбених потреба избеглица                                                         </t>
  </si>
  <si>
    <t xml:space="preserve">Приходи остварени по основу давања у закуп грађевинског земљишта у јавној својини републике србије                                                         </t>
  </si>
  <si>
    <t xml:space="preserve">Накнаде за коришћење речних обала, туристичких погодности  и бања                                                             </t>
  </si>
  <si>
    <t xml:space="preserve">Комунална такса за коришћење обале у пословне и било које друге сврхе                                                           </t>
  </si>
  <si>
    <t>741542</t>
  </si>
  <si>
    <t xml:space="preserve">Накнада за коришћење природног лековитог фактора                                                                 </t>
  </si>
  <si>
    <t xml:space="preserve">Туристичка накнада                                                                     </t>
  </si>
  <si>
    <t xml:space="preserve">Накнада за коришћење добара од општег интереса у производњи електричне енергије и производњи нафте и гаса                                                       </t>
  </si>
  <si>
    <t>741560</t>
  </si>
  <si>
    <t xml:space="preserve">Коришћење ваздухопловног простора и накнаде за воде                                                                </t>
  </si>
  <si>
    <t xml:space="preserve">Накнада за коришћење ваздухопловног простора                                                                  </t>
  </si>
  <si>
    <t xml:space="preserve">Накнада за коришћење водног добра                                                                  </t>
  </si>
  <si>
    <t xml:space="preserve">Накнада за испуштену воду                                                                   </t>
  </si>
  <si>
    <t xml:space="preserve">Накнада за загађивање вода                                                                   </t>
  </si>
  <si>
    <t xml:space="preserve">Накнада за одводњавање од физичких лица на основу решења пореске управе                                                            </t>
  </si>
  <si>
    <t xml:space="preserve">Накнада за одводњавање од правних лица                                                                 </t>
  </si>
  <si>
    <t xml:space="preserve">Накнада за коришћење водних објеката и система                                                                </t>
  </si>
  <si>
    <t xml:space="preserve">Сливна водна накнада од физичких лица на основу решења пореске управе                                                            </t>
  </si>
  <si>
    <t xml:space="preserve">Сливна водна накнада од правних лица                                                                 </t>
  </si>
  <si>
    <t xml:space="preserve">Накнада за коришћење радио фреквенција и тв канала                                                               </t>
  </si>
  <si>
    <t xml:space="preserve">Средства у износу од 1,5% од укупно остварене месечне претплате радиодифузне установе за развој домаће кинематографије                                                       </t>
  </si>
  <si>
    <t xml:space="preserve">Накнада за коришћење земљишта које припада државном  путу                                                              </t>
  </si>
  <si>
    <t xml:space="preserve">Накнада за постављање рекламних табли, рекламних паноа, уређаја за сликовно и звучно обавештење или оглашавање на државном путу, односно на другом земљишту које користи управљач државног пута, у складу са прописима                                        </t>
  </si>
  <si>
    <t xml:space="preserve">Накнада за закуп делова земљишног појаса државног пута                                                               </t>
  </si>
  <si>
    <t xml:space="preserve">Накнада за закуп другог земљишта које користи управљач државног пута                                                             </t>
  </si>
  <si>
    <t xml:space="preserve">Накнаде за заштиту животне средине                                                                  </t>
  </si>
  <si>
    <t xml:space="preserve">Накнада за производе који после употребе постају посебни токови отпада                                                             </t>
  </si>
  <si>
    <t xml:space="preserve">Накнада за загађивање животне средине у подручјима од посебног државног интереса у области заштите животне средине                                                       </t>
  </si>
  <si>
    <t xml:space="preserve">Накнада за стављање амбалаже у промет                                                                 </t>
  </si>
  <si>
    <t xml:space="preserve">Накнада за компензацијске мере                                                                   </t>
  </si>
  <si>
    <t xml:space="preserve">Накнада за пружање стручних услуга фонда за заштиту животне средине                                                             </t>
  </si>
  <si>
    <t>742000</t>
  </si>
  <si>
    <t xml:space="preserve">Приходи од продаје добара и услуга                                                                 </t>
  </si>
  <si>
    <t xml:space="preserve">Приходи од продаје добара и услуга или закупа од стране тржишних организација                                                           </t>
  </si>
  <si>
    <t xml:space="preserve">Приходи од продаје добара и услуга или закупа од стране тржишних организација у корист нивоа републике                                                       </t>
  </si>
  <si>
    <t xml:space="preserve">Приходи од продаје добара и услуга од стране тржишних организација у корист нивоа републике                                                         </t>
  </si>
  <si>
    <t xml:space="preserve">Приходи од давања у закуп, односно на коришћење непокретности у државној својини које користе државни органи и организације и установе – јавне службе које се финансирају из буџета републике                                          </t>
  </si>
  <si>
    <t xml:space="preserve">Приходи од давања у закуп станова које користе ратни војни инвалиди и породице палих бораца                                                        </t>
  </si>
  <si>
    <t xml:space="preserve">Накнада за лабораторијске анализе узорака хране и хране за животиње узетих током службених контрола                                                         </t>
  </si>
  <si>
    <t xml:space="preserve">Накнада за утврђивање испуњености услова за обављање производње и преглед пошиљки приликом увоза, односно извоза грожђа, шире, вина и других производа                                                  </t>
  </si>
  <si>
    <t xml:space="preserve">Трошкови обављања послова везаних за географско порекло, контроле производње грожђа намењеног за производњу вина са географским пореклом, контроле производње вина са географским пореклом, као и испитивање квалитета и сензорског оцењивања вина                                        </t>
  </si>
  <si>
    <t xml:space="preserve">Накнаде за упис у регистар сорти пољопривредног биља                                                               </t>
  </si>
  <si>
    <t xml:space="preserve">Приходи од давања у закуп непокретности чији је корисник министарство одбране                                                            </t>
  </si>
  <si>
    <t xml:space="preserve">Накнада по основу конверзије права коришћења у право својине у корист фонда за реституцију                                                         </t>
  </si>
  <si>
    <t xml:space="preserve">Приходи од продаје добара и услуга или закупа од стране тржишних организација у корист буџета територијалних аутономија                                                      </t>
  </si>
  <si>
    <t xml:space="preserve">Приходи од продаје добара и услуга од стране тржишних организација у корист буџета ап војводина                                                        </t>
  </si>
  <si>
    <t xml:space="preserve">Приходи од давања у закуп, односно на коришћење непокретности у државној својини које користе органи ап војводина                                                      </t>
  </si>
  <si>
    <t xml:space="preserve">Приходи од продаје добара и услуга од стране тржишних организација у корист буџета ап косово и метохија                                                      </t>
  </si>
  <si>
    <t xml:space="preserve">Приходи од давања у закуп, односно на коришћење непокретности у државној својини које користе органи ап косово и метохија                                                    </t>
  </si>
  <si>
    <t xml:space="preserve">Приходи од давања у закуп, односно на коришћење непокретности у покрајинској  својини које користе органи ап војводина                                                     </t>
  </si>
  <si>
    <t xml:space="preserve">Приходи од давања у закуп, односно на коришћење непокретности у покрајинској својини које користе органи ап косово и метохија                                                    </t>
  </si>
  <si>
    <t xml:space="preserve">Приходи од продаје добара или услуга од стране тржишних организација у корист нивоа градова                                                         </t>
  </si>
  <si>
    <t xml:space="preserve">Приходи од давања у закуп, односно на коришћење непокретности у државној својини које користе градови и индиректни корисници њиховог буџета                                                   </t>
  </si>
  <si>
    <t xml:space="preserve">Приходи од закупнине за грађевинско земљиште у корист нивоа градова                                                             </t>
  </si>
  <si>
    <t xml:space="preserve">Накнада по основу конверзије права коришћења у право својине у корист нивоа градова                                                          </t>
  </si>
  <si>
    <t xml:space="preserve">Приходи од давања у закуп, односно на коришћење непокретности у градској својини које користе градови и индиректни корисници њиховог буџета                                                   </t>
  </si>
  <si>
    <t xml:space="preserve">Приходи од продаје добара и услуга или закупа од стране тржишних организација у корист нивоа општина                                                       </t>
  </si>
  <si>
    <t xml:space="preserve">Приходи од продаје добара и услуга од стране тржишних организација у корист нивоа општина                                                         </t>
  </si>
  <si>
    <t xml:space="preserve">Приходи од давања у закуп, односно на коришћење непокретности у државној својини које користе општине и индиректни корисници њиховог буџета                                                   </t>
  </si>
  <si>
    <t xml:space="preserve">Приходи од закупнине за грађевинско земљиште у корист нивоа општина                                                             </t>
  </si>
  <si>
    <t xml:space="preserve">Накнада по основу конверзије права коришћења у право својине у корист нивоа општина                                                          </t>
  </si>
  <si>
    <t xml:space="preserve">Приходи од давања у закуп, односно на коришћење непокретности у општинској својини које користе општине и индиректни корисници њиховог буџета                                                   </t>
  </si>
  <si>
    <t xml:space="preserve">Приходи од закупа од стране тржишних организација у корист организација обавезног социјалног осигурања                                                          </t>
  </si>
  <si>
    <t xml:space="preserve">Приходи од закупа од стране тржишних организација у корист републичког фонда за здравствено осигурање                                                         </t>
  </si>
  <si>
    <t xml:space="preserve">Приходи од закупа од стране тржишних организација у корист републичког фонда за пио                                                          </t>
  </si>
  <si>
    <t xml:space="preserve">Приходи од закупа од стране тржишних организација у корист националнe службe за запошљавање                                                          </t>
  </si>
  <si>
    <t xml:space="preserve">Таксе и накнаде                                                                    </t>
  </si>
  <si>
    <t xml:space="preserve">Конзуларне таксе                                                                     </t>
  </si>
  <si>
    <t xml:space="preserve">Таксе у корист нивоа републике                                                                  </t>
  </si>
  <si>
    <t xml:space="preserve">Републичке административне таксе                                                                    </t>
  </si>
  <si>
    <t xml:space="preserve">Накнада за издавање и продужење уверења о здравственом стању животиња                                                             </t>
  </si>
  <si>
    <t xml:space="preserve">Накнада за извршене ветеринарско - санитарне прегледе                                                                </t>
  </si>
  <si>
    <t xml:space="preserve">Накнада за обавезни здравствени преглед пошиљки биља у промету преко државне границе, издавање уверења о здравственом стању биља у унутрашњем промету и трошкова лабораторијског испитивања узорака биља                                            </t>
  </si>
  <si>
    <t xml:space="preserve">Накнада за обележавање и евиденцију животиња                                                                 </t>
  </si>
  <si>
    <t xml:space="preserve">Средства од наплаћених трошкова за утврђивање испуњености прописаних услова из заштите на раду                                                          </t>
  </si>
  <si>
    <t xml:space="preserve">Трошкови управног поступка                                                                    </t>
  </si>
  <si>
    <t xml:space="preserve">Трошкови за издавање лиценци за обављање послова у области безбедности и здравља на раду                                                         </t>
  </si>
  <si>
    <t xml:space="preserve">Трошкови пореског поступка                                                                    </t>
  </si>
  <si>
    <t xml:space="preserve">Таксе у корист нивоа територијалних аутономија                                                                 </t>
  </si>
  <si>
    <t xml:space="preserve">Административне таксе у корист нивоа ап војводина                                                                </t>
  </si>
  <si>
    <t xml:space="preserve">Административне таксе у корист нивоа ап косово и метохија                                                              </t>
  </si>
  <si>
    <t xml:space="preserve">Таксе у корист нивоа градова                                                                  </t>
  </si>
  <si>
    <t xml:space="preserve">Градске административне таксе                                                                    </t>
  </si>
  <si>
    <t xml:space="preserve">Таксе у корист нивоа општина                                                                  </t>
  </si>
  <si>
    <t xml:space="preserve">Општинске административне таксе                                                                    </t>
  </si>
  <si>
    <t xml:space="preserve">Накнада за обавезни здравствени преглед биља                                                                 </t>
  </si>
  <si>
    <t xml:space="preserve">Накнада за уређивање грађевинског земљишта                                                                  </t>
  </si>
  <si>
    <t xml:space="preserve">Трошкови пореског и прекршајног поступка изворних јавних прихода општина и градова                                                            </t>
  </si>
  <si>
    <t xml:space="preserve">Таксе у корист организација обавезног социјалног осигурања                                                                </t>
  </si>
  <si>
    <t xml:space="preserve">Таксе у корист републичког фонда за здравствено осигурање                                                               </t>
  </si>
  <si>
    <t xml:space="preserve">Таксе у корист републичког фонда за пио                                                                </t>
  </si>
  <si>
    <t xml:space="preserve">Таксе у корист националне службе за запошљавање                                                                </t>
  </si>
  <si>
    <t xml:space="preserve">Таксе у корист републичких судова                                                                  </t>
  </si>
  <si>
    <t xml:space="preserve">Републичке судске таксе                                                                    </t>
  </si>
  <si>
    <t xml:space="preserve">Трошкови заступања у судским и управним поступцима                                                                </t>
  </si>
  <si>
    <t xml:space="preserve">Накнаде за приређивање игара на срећу                                                                 </t>
  </si>
  <si>
    <t xml:space="preserve">Накнада за дозволу за посебне игре на срећу у играчницама                                                             </t>
  </si>
  <si>
    <t xml:space="preserve">Накнада за одобрење за посебне игрe на срећу на аутоматима                                                             </t>
  </si>
  <si>
    <t xml:space="preserve">Накнада за одобрење за посебне игрe на срећу – клађење                                                             </t>
  </si>
  <si>
    <t xml:space="preserve">Накнада за приређивање класичних игара на срећу                                                                </t>
  </si>
  <si>
    <t xml:space="preserve">Накнада за приређивање посебних игара на срећу у играчницама                                                              </t>
  </si>
  <si>
    <t xml:space="preserve">Накнада за приређивање посебних игара на срећу на аутоматима                                                              </t>
  </si>
  <si>
    <t xml:space="preserve">Накнада за приређивање посебних игара на срећу – клађење                                                              </t>
  </si>
  <si>
    <t xml:space="preserve">Накнада за приређивање наградне игре у роби и услугама                                                              </t>
  </si>
  <si>
    <t xml:space="preserve">Накнада за приређивање посебних игара на срећу путем интернета, телефона или на други начин путем телекомуникационих веза                                                      </t>
  </si>
  <si>
    <t xml:space="preserve">Накнаде за дуван                                                                    </t>
  </si>
  <si>
    <t xml:space="preserve">Накнада за давање дозволе за обављање малопродаје дуванских производа                                                              </t>
  </si>
  <si>
    <t xml:space="preserve">Накнада за давање дозволе за обављање осталог промета дуванских производа                                                             </t>
  </si>
  <si>
    <t xml:space="preserve">Споредне продаје добара и услуга које врше државне нетржишне јединице                                                             </t>
  </si>
  <si>
    <t xml:space="preserve">Приходи од споредне продаје добара и услуга које врше државне нетржишне јединице                                                           </t>
  </si>
  <si>
    <t xml:space="preserve">Приходи војске србије од споредне продаје добара и услуга                                                              </t>
  </si>
  <si>
    <t xml:space="preserve">Приходи буџета републике од споредне продаје добара и услуга које врше државне нетржишне јединице                                                         </t>
  </si>
  <si>
    <t xml:space="preserve">Приходи републичких органа и организација                                                                  </t>
  </si>
  <si>
    <t xml:space="preserve">Накнада за коришћење података и документације основних геолошких истраживања                                                              </t>
  </si>
  <si>
    <t xml:space="preserve">Накнада за коришћење података премера, катастра непокретности и водова и за разгледање катастра непокретности, као и за услуге које пружа републички геодетски завод                                                </t>
  </si>
  <si>
    <t xml:space="preserve">Трошкови поступка санитарних и здравствених инспектора по захтеву странке                                                              </t>
  </si>
  <si>
    <t xml:space="preserve">Трошкови полагања стручног испита за здравствене раднике, трошкови доделе назива примаријус и други трошкови                                                         </t>
  </si>
  <si>
    <t xml:space="preserve">Приходи од продаје пригодног кованог новца                                                                 </t>
  </si>
  <si>
    <t xml:space="preserve">Трошкови полагања стручних испита за обављање послова у области безбедности и здравља на раду                                                         </t>
  </si>
  <si>
    <t xml:space="preserve">Накнада нужних трошкова за издавање копије докумената на којима се налазе информације од јавног значаја                                                        </t>
  </si>
  <si>
    <t xml:space="preserve">Накнада за вршење техничког надзора пловних објеката                                                                </t>
  </si>
  <si>
    <t xml:space="preserve">Приходи територијалних аутономија од споредне продаје добара и услуга које врше државне нетржишне јединице                                                         </t>
  </si>
  <si>
    <t xml:space="preserve">Приходи које својом делатношћу остваре органи ап војводина                                                               </t>
  </si>
  <si>
    <t xml:space="preserve">Приходи које својом делатношћу остваре органи ап косово и метохија                                                             </t>
  </si>
  <si>
    <t xml:space="preserve">Приходи буџета града од споредне продаје добара и услуге које врше државне нетржишне јединице                                                         </t>
  </si>
  <si>
    <t xml:space="preserve">Приходи које својом делатношћу остваре органи и организације градова                                                              </t>
  </si>
  <si>
    <t xml:space="preserve">Приходи општинских органа од споредне продаје добара и услуга које врше државне нетржишне јединице                                                         </t>
  </si>
  <si>
    <t xml:space="preserve">Приходи које својом делатношћу остваре органи и организације општина                                                              </t>
  </si>
  <si>
    <t xml:space="preserve">Приходи организација обавезног социјалног осигурања од споредне продаје добара и услуга које врше државне нетржишне јединице                                                       </t>
  </si>
  <si>
    <t xml:space="preserve">Приходи индиректних корисника буџетских средстава који се остварују додатним активностима                                                             </t>
  </si>
  <si>
    <t xml:space="preserve">Приходи индиректних корисника републичког буџета који се остварују додатним активностима                                                             </t>
  </si>
  <si>
    <t xml:space="preserve">Приходи индиректних корисника буџета локалне самоуправе који се остварују додатним активностима                                                            </t>
  </si>
  <si>
    <t xml:space="preserve">Приходи индиректних корисника републичког фонда за здравствено осигурање који се остварују додатним активностима                                                          </t>
  </si>
  <si>
    <t xml:space="preserve">Родитељски динар за ваннаставне активности                                                                  </t>
  </si>
  <si>
    <t xml:space="preserve">Импутиране продаје добара и услуга                                                                  </t>
  </si>
  <si>
    <t>743000</t>
  </si>
  <si>
    <t xml:space="preserve">Новчане казне и одузета имовинска корист                                                                 </t>
  </si>
  <si>
    <t xml:space="preserve">Приходи од новчаних казни за кривична дела                                                                </t>
  </si>
  <si>
    <t xml:space="preserve">Приходи од новчаних казни за кривична дела у корист нивоа републике                                                            </t>
  </si>
  <si>
    <t xml:space="preserve">Трошкови кривичног поступка и паушал код судова                                                                </t>
  </si>
  <si>
    <t xml:space="preserve">Приходи од новчаних казни које повереник за информације од јавног значаја и заштиту података и личности изриче органима јавне власти у поступку административног извршења својих решења                                             </t>
  </si>
  <si>
    <t xml:space="preserve">Приходи од новчаних казни за кривична дела којима је нанета штета шумама                                                           </t>
  </si>
  <si>
    <t xml:space="preserve">Приходи од новчаних казни за кривична дела у корист нивоа територијалних аутономија                                                           </t>
  </si>
  <si>
    <t xml:space="preserve">Приходи од новчаних казни за кривична дела у корист нивоа градова                                                            </t>
  </si>
  <si>
    <t xml:space="preserve">Приходи од новчаних казни за кривична дела у корист нивоа општина                                                            </t>
  </si>
  <si>
    <t xml:space="preserve">Приходи од новчаних казни за кривична дела у корист организација обавезног социјалног осигурања                                                          </t>
  </si>
  <si>
    <t xml:space="preserve">Приходи од новчаних казни за привредне преступе                                                                </t>
  </si>
  <si>
    <t xml:space="preserve">Приходи од новчаних казни за привредне преступе у корист нивоа републике                                                            </t>
  </si>
  <si>
    <t xml:space="preserve">Приходи од новчаних казни за привредне преступе установљене прописима о здравственој заштити животиња                                                          </t>
  </si>
  <si>
    <t xml:space="preserve">Приходи од новчаних казни за привредне преступе или прекршаје установљене прописима о шумама и прописима којима се уређује обезбеђивање репродуктивног материјала шумског дрвећа и прихода од новчаних казни за привредне преступе или прекршаје установљене другим законом, ако је кажњивим делом нанета штета шуми                            </t>
  </si>
  <si>
    <t xml:space="preserve">Новчани износ мере заштите конкуренције                                                                  </t>
  </si>
  <si>
    <t xml:space="preserve">Приходи од новчаних казни за привредне преступе у корист нивоа територијалних аутономија                                                           </t>
  </si>
  <si>
    <t xml:space="preserve">Приходи од новчаних казни за привредне преступе у корист нивоа градова                                                            </t>
  </si>
  <si>
    <t xml:space="preserve">Приходи од новчаних казни за привредне преступе у корист нивоа општина                                                            </t>
  </si>
  <si>
    <t xml:space="preserve">Приходи од новчаних казни за привредне преступе у корист организација обавезног социјалног осигурања                                                          </t>
  </si>
  <si>
    <t xml:space="preserve">Приходи од новчаних казни за прекршаје                                                                 </t>
  </si>
  <si>
    <t xml:space="preserve">Приходи од новчаних казни за прекршаје у корист нивоа републике                                                             </t>
  </si>
  <si>
    <t xml:space="preserve">Приходи од новчаних казни за прекршаје у области рада (по пријавама инспекције рада)                                                          </t>
  </si>
  <si>
    <t xml:space="preserve">Приходи од новчаних казни за прекршаје које изриче инспекција рада (мандатне казне)                                                           </t>
  </si>
  <si>
    <t>743324</t>
  </si>
  <si>
    <t xml:space="preserve">Приходи од новчаних казни за прекршаје, предвиђене прописима о безбедности саобраћаја на путевима                                                          </t>
  </si>
  <si>
    <t xml:space="preserve">Разлика у цени уплаћена по решењима надлежних републичких органа                                                              </t>
  </si>
  <si>
    <t xml:space="preserve">Приходи од новчаних казни за прекршаје које изричу републички инспекцијски органи                                                            </t>
  </si>
  <si>
    <t xml:space="preserve">Приходи од новчаних казни за прекршаје установљене прописима о здравственој заштити животиња                                                           </t>
  </si>
  <si>
    <t xml:space="preserve">Приходи од новчаних казни за прекршаје које изриче републички орган управе надлежан за послове јавних прихода                                                       </t>
  </si>
  <si>
    <t xml:space="preserve">Приходи од новчаних казни за прекршаје предвиђене законом о ванредним ситуацијама и законима који уређују област заштите од пожара, експлозивних и опасних материја                                                </t>
  </si>
  <si>
    <t xml:space="preserve">Приходи од новчаних казни за прекршаје у корист нивоа територијалних аутономија                                                            </t>
  </si>
  <si>
    <t xml:space="preserve">Приходи од новчаних казни за прекршаје у корист нивоа ап војводина                                                            </t>
  </si>
  <si>
    <t xml:space="preserve">Приходи од новчаних казни за прекршаје у корист нивоа ап косово и метохија                                                          </t>
  </si>
  <si>
    <t xml:space="preserve">Приходи од новчаних казни за прекршаје у корист нивоа градова                                                             </t>
  </si>
  <si>
    <t xml:space="preserve">Приходи од новчаних казни изречених у прекршајном поступку за прекршаје прописане актом скупштине града, као и одузета имовинска корист у том поступку                                                 </t>
  </si>
  <si>
    <t xml:space="preserve">Приходи од мандатних казни и казни изречених у управном поступку у корист нивоа градова                                                         </t>
  </si>
  <si>
    <t xml:space="preserve">Приходи од новчаних казни за прекршаје које изриче градски орган управе надлежан за изворне јавне приходе                                                       </t>
  </si>
  <si>
    <t xml:space="preserve">Приходи од новчаних казни за прекршаје у корист нивоа општина                                                             </t>
  </si>
  <si>
    <t xml:space="preserve">Приходи од новчаних казни изречених у прекршајном поступку за прекршаје прописане актом скупштине општине, као и одузета имовинска корист у том поступку                                                 </t>
  </si>
  <si>
    <t xml:space="preserve">Приходи од мандатних казни и казни изречених у управном поступку у корист нивоа општина                                                         </t>
  </si>
  <si>
    <t xml:space="preserve">Приходи од новчаних казни за прекршаје које изриче општински орган управе надлежан за изворне јавне приходе                                                       </t>
  </si>
  <si>
    <t xml:space="preserve">Приходи од новчаних казни за прекршаје у корист организација обавезног социјалног осигурања                                                           </t>
  </si>
  <si>
    <t xml:space="preserve">Приходи од пенала                                                                    </t>
  </si>
  <si>
    <t xml:space="preserve">Приходи од пенала у корист нивоа републике                                                                </t>
  </si>
  <si>
    <t xml:space="preserve">Приходи од пенала у корист буџетског фонда за професионалну рехабилитацију и подстицање запошљавања особа са инвалидитетом                                                       </t>
  </si>
  <si>
    <t xml:space="preserve">Процесни пенал из закона о заштити конкуренције                                                                </t>
  </si>
  <si>
    <t xml:space="preserve">Приходи од пенала у корист нивоа територијалних аутономија                                                               </t>
  </si>
  <si>
    <t xml:space="preserve">Приходи од пенала у корист нивоа градова                                                                </t>
  </si>
  <si>
    <t xml:space="preserve">Приходи од пенала у корист нивоа општина                                                                </t>
  </si>
  <si>
    <t xml:space="preserve">Приходи од пенала у корист нивоа организација обавезног социјалног осигурања                                                             </t>
  </si>
  <si>
    <t xml:space="preserve">Приходи од одузете имовинске користи                                                                  </t>
  </si>
  <si>
    <t xml:space="preserve">Приходи од одузете имовинске користи у корист нивоа републике                                                              </t>
  </si>
  <si>
    <t xml:space="preserve">Одузета имовинска корист и средства добијена продајом одузетих предмета у прекршајном, кривичном и другом поступку                                                        </t>
  </si>
  <si>
    <t xml:space="preserve">Средства од продаје одузете робе, наплаћених трошкова за утврђивање услова за обављање делатности и од мандатних казни које изричу тржишни инспектори                                                  </t>
  </si>
  <si>
    <t xml:space="preserve">Новчана казна за царинске преступе и средства остварена од продаје одузете робе                                                           </t>
  </si>
  <si>
    <t xml:space="preserve">Средства од продаје одузете робе у пореском поступку                                                               </t>
  </si>
  <si>
    <t xml:space="preserve">Новчана средства добијена продајом трајно одузете имовине                                                                </t>
  </si>
  <si>
    <t xml:space="preserve">Одузета имовинска корист и средства добијена продајом у поступцима за утврђивање одговорности за кажњива дела из члана 82. став 2. тачка 1) закона о шумама                                              </t>
  </si>
  <si>
    <t xml:space="preserve">Приходи од одузете имовинске користи у корист нивоа територијалних аутономија                                                             </t>
  </si>
  <si>
    <t xml:space="preserve">Приходи од одузете имовинске користи у корист нивоа градова                                                              </t>
  </si>
  <si>
    <t xml:space="preserve">Приходи од одузете имовинске користи у корист нивоа општина                                                              </t>
  </si>
  <si>
    <t xml:space="preserve">Приходи од одузете имовинске користи у корист организација обавезног социјалног осигурања                                                            </t>
  </si>
  <si>
    <t xml:space="preserve">Остале новчане казне, пенали и приходи од одузете имовинске користи                                                             </t>
  </si>
  <si>
    <t xml:space="preserve">Остале новчане казне, пенали и приходи од одузете имовинске користи у корист нивоа републике                                                         </t>
  </si>
  <si>
    <t xml:space="preserve">Трошкови принудне наплате јавних прихода                                                                  </t>
  </si>
  <si>
    <t xml:space="preserve">Трошкови поступака пред органима за прекршаје                                                                 </t>
  </si>
  <si>
    <t xml:space="preserve">Једнократна такса на принудну наплату пореза                                                                 </t>
  </si>
  <si>
    <t xml:space="preserve">Остале новчане казне, пенали и приходи од одузете имовинске користи у корист нивоа територијалних аутономија                                                        </t>
  </si>
  <si>
    <t xml:space="preserve">Остале новчане казне, пенали и приходи од одузете имовинске користи у корист нивоа градова                                                         </t>
  </si>
  <si>
    <t xml:space="preserve">Остале новчане казне, пенали и приходи од одузете имовинске користи у корист нивоа општина                                                         </t>
  </si>
  <si>
    <t xml:space="preserve">Трошкови принудне наплате изворних јавних прихода општина и градова                                                              </t>
  </si>
  <si>
    <t xml:space="preserve">Остале новчане казне, пенали и приходи од одузете имовинске користи у корист организација обавезног социјалног осигурања                                                       </t>
  </si>
  <si>
    <t>744000</t>
  </si>
  <si>
    <t xml:space="preserve">Добровољни трансфери од физичких и правних лица                                                                </t>
  </si>
  <si>
    <t xml:space="preserve">Текући добровољни трансфери од физичких и правних лица                                                               </t>
  </si>
  <si>
    <t xml:space="preserve">Текући добровољни трансфери од физичких и правних лица у корист нивоа републике                                                           </t>
  </si>
  <si>
    <t xml:space="preserve">Приходи по основу донација за санацију штета од елементарних непогода                                                             </t>
  </si>
  <si>
    <t xml:space="preserve">Текући добровољни трансфери од физичких и правних лица у корист нивоа територијалних аутономија                                                          </t>
  </si>
  <si>
    <t xml:space="preserve">Текући добровољни трансфери од физичких и правних лица у корист нивоа ап војводина                                                          </t>
  </si>
  <si>
    <t xml:space="preserve">Текући добровољни трансфери од физичких и правних лица у корист нивоа ап косово и метохија                                                        </t>
  </si>
  <si>
    <t xml:space="preserve">Текући добровољни трансфери од физичких и правних лица у корист нивоа градова                                                           </t>
  </si>
  <si>
    <t>744141</t>
  </si>
  <si>
    <t xml:space="preserve">Текући добровољни трансфери за одлагање кривичног гоњења у корист нивоа градова                                                            </t>
  </si>
  <si>
    <t xml:space="preserve">Текући добровољни трансфери од физичких и правних лица у корист нивоа општина                                                           </t>
  </si>
  <si>
    <t xml:space="preserve">Текући добровољни трансфери од физичких и правних лица у корист организација обавезног социјалног осигурања                                                         </t>
  </si>
  <si>
    <t xml:space="preserve">Текући добровољни трансфери од физичких и правних лица у корист републичког фонда за здравствено осигурање                                                        </t>
  </si>
  <si>
    <t xml:space="preserve">Текући добровољни трансфери од физичких и правних лица у корист републичког фонда за пио                                                         </t>
  </si>
  <si>
    <t xml:space="preserve">Текући добровољни трансфери од физичких и правних лица у корист националне службе за запошљавање                                                         </t>
  </si>
  <si>
    <t xml:space="preserve">Капитални добровољни трансфери од физичких и правних лица                                                               </t>
  </si>
  <si>
    <t xml:space="preserve">Капитални добровољни трансфери од физичких и правних лица у корист нивоа републике                                                           </t>
  </si>
  <si>
    <t xml:space="preserve">Капитални добровољни трансфери од физичких и правних лица у корист нивоа територијалних аутономија                                                          </t>
  </si>
  <si>
    <t xml:space="preserve">Капитални добровољни трансфери од физичких и правних лица у корист нивоа ап војводина                                                          </t>
  </si>
  <si>
    <t xml:space="preserve">Капитални добровољни трансфери у корист нивоа ап косово и метохија                                                             </t>
  </si>
  <si>
    <t xml:space="preserve">Капитални добровољни трансфери од физичких и правних лица у корист нивоа градова                                                           </t>
  </si>
  <si>
    <t xml:space="preserve">Капитални добровољни трансфери од физичких и правних лица у корист нивоа општина                                                           </t>
  </si>
  <si>
    <t xml:space="preserve">Капитални добровољни трансфери од физичких и правних лица  у корист организација обавезног социјалног осигурања                                                        </t>
  </si>
  <si>
    <t xml:space="preserve">Капитални добровољни трансфери од физичких и правних лица у корист републичког фонда за здравствено осигурање                                                        </t>
  </si>
  <si>
    <t xml:space="preserve">Капитални добровољни трансфери од физичких и правних лица у корист републичког фонда за пио                                                         </t>
  </si>
  <si>
    <t xml:space="preserve">Капитални добровољни трансфери од физичких и правних лица у корист националне службе за запошљавање                                                         </t>
  </si>
  <si>
    <t>745000</t>
  </si>
  <si>
    <t xml:space="preserve">Мешовити и неодређени приходи                                                                   </t>
  </si>
  <si>
    <t xml:space="preserve">Мешовити и неодређени приходи у корист нивоа републике                                                               </t>
  </si>
  <si>
    <t xml:space="preserve">Укинути приходи буџета републике                                                                   </t>
  </si>
  <si>
    <t xml:space="preserve">Закупнина за стан у државној својини                                                                 </t>
  </si>
  <si>
    <t xml:space="preserve">Део добити јавног предузећа, према одлуци управног одбора јавног предузећа                                                             </t>
  </si>
  <si>
    <t xml:space="preserve">Уплата средстава по основу више обрачунатих зарада према закону о утврђивању максималне зараде у јавном сектору у корист буџета републике србије                                                  </t>
  </si>
  <si>
    <t xml:space="preserve">Приходи од агенције за осигурање депозита по основу наплаћених потраживања                                                             </t>
  </si>
  <si>
    <t xml:space="preserve">Средства на име учешћа у финансирању зарада особа са инвалидитетом запослених у предузећу за професионалну рехабилитацију и запошљавање особа са инвалидитетом или социјалном предузећу или организацији                                             </t>
  </si>
  <si>
    <t xml:space="preserve">Приходи од преузетих потраживања из стечајне масе                                                                </t>
  </si>
  <si>
    <t xml:space="preserve">Остали приходи буџета републике                                                                   </t>
  </si>
  <si>
    <t xml:space="preserve">Мешовити и неодређени приходи у корист нивоа територијалних аутономија                                                              </t>
  </si>
  <si>
    <t xml:space="preserve">Мешовити и неодређени приходи у корист нивоа ап војводина                                                              </t>
  </si>
  <si>
    <t xml:space="preserve">Мешовити и неодређени приходи у корист нивоа ап косово и метохија                                                            </t>
  </si>
  <si>
    <t xml:space="preserve">Закупнина за стан у државној својини у корист нивоа ап војводина                                                            </t>
  </si>
  <si>
    <t xml:space="preserve">Закупнина за стан у државној својини у корист нивоа ап косово и метохија                                                          </t>
  </si>
  <si>
    <t xml:space="preserve">Део добити јавног предузећа, према одлуци управног одбора јавног предузећа, у корист нивоа ап војводина                                                        </t>
  </si>
  <si>
    <t xml:space="preserve">Део добити јавног предузећа, према одлуци управног одбора јавног предузећа, у корист нивоа ап косово и метохија                                                      </t>
  </si>
  <si>
    <t xml:space="preserve">Закупнина за стан у покрајинској својини у корист нивоа ап војводина                                                            </t>
  </si>
  <si>
    <t xml:space="preserve">Закупнина за стан у покрајинској својини у корист нивоа ап косово и метохија                                                          </t>
  </si>
  <si>
    <t xml:space="preserve">Уплата средстава по основу више обрачунатих зарада према закону о утврђивању максималне зараде у јавном сектору у корист буџета аутономне покрајине                                                  </t>
  </si>
  <si>
    <t xml:space="preserve">Мешовити и неодређени приходи у корист нивоа градова                                                               </t>
  </si>
  <si>
    <t xml:space="preserve">Остали приходи у корист нивоа градова                                                                 </t>
  </si>
  <si>
    <t>745142</t>
  </si>
  <si>
    <t xml:space="preserve">Закупнина за стан у државној својини у корист нивоа градова                                                             </t>
  </si>
  <si>
    <t>745143</t>
  </si>
  <si>
    <t xml:space="preserve">Део добити јавног предузећа, према одлуци управног одбора јавног предузећа, у корист нивоа градова                                                         </t>
  </si>
  <si>
    <t xml:space="preserve">Закупнина за стан у градској својини у корист нивоа градова                                                             </t>
  </si>
  <si>
    <t xml:space="preserve">Уплата средстава по основу више обрачунатих зарада према закону о утврђивању максималне зараде у јавном сектору у корист буџета града                                                   </t>
  </si>
  <si>
    <t xml:space="preserve">Мешовити и неодређени приходи у корист нивоа општина                                                               </t>
  </si>
  <si>
    <t xml:space="preserve">Остали приходи у корист нивоа општина                                                                 </t>
  </si>
  <si>
    <t xml:space="preserve">Закупнина за стан у државној својини у корист нивоа општина                                                             </t>
  </si>
  <si>
    <t xml:space="preserve">Део добити јавног предузећа, према одлуци управног одбора јавног предузећа, у корист нивоа општина                                                         </t>
  </si>
  <si>
    <t xml:space="preserve">Закупнина за стан у општинској својини у корист нивоа општина                                                             </t>
  </si>
  <si>
    <t xml:space="preserve">Мешовити и неодређени приходи у корист организација обавезног социјалног осигурања                                                             </t>
  </si>
  <si>
    <t xml:space="preserve">Мешовити и неодређени приходи у корист републичког фонда за здравствено осигурање                                                            </t>
  </si>
  <si>
    <t xml:space="preserve">Мешовити и неодређени приходи у корист републичког фонда за пио                                                             </t>
  </si>
  <si>
    <t xml:space="preserve">Мешовити и неодређени приходи у корист националне службе за запошљавање                                                             </t>
  </si>
  <si>
    <t xml:space="preserve">Средства од 5% бруто премије осигурања од аутоодговорности                                                               </t>
  </si>
  <si>
    <t>770000</t>
  </si>
  <si>
    <t xml:space="preserve">Меморандумске ставке за рефундацију расхода                                                                  </t>
  </si>
  <si>
    <t>771111</t>
  </si>
  <si>
    <t xml:space="preserve">Меморандумске ставке за рефундацију расхода из претходне године                                                               </t>
  </si>
  <si>
    <t xml:space="preserve">Меморандумске ставке за рефундацију расхода буџета републике из претходне године                                                             </t>
  </si>
  <si>
    <t xml:space="preserve">Меморандумске ставке за рефундацију расхода буџета ап војводина из претходне године                                                            </t>
  </si>
  <si>
    <t xml:space="preserve">Меморандумске ставке за рефундацију расхода буџета града из претходне године                                                             </t>
  </si>
  <si>
    <t xml:space="preserve">Меморандумске ставке за рефундацију расхода буџета општине из претходне године                                                             </t>
  </si>
  <si>
    <t xml:space="preserve">Трансфери између буџетских корисника на истом нивоу                                                                </t>
  </si>
  <si>
    <t xml:space="preserve">Трансфери од директних ка индиректним буџетским корисницима на истом нивоу                                                             </t>
  </si>
  <si>
    <t xml:space="preserve">Трансфери између организација обавезног социјалног осигурања                                                                 </t>
  </si>
  <si>
    <t xml:space="preserve">Трансфери од организација обавезног социјалног осигурања у корист републичког фонда за здравствено осигурање                                                          </t>
  </si>
  <si>
    <t xml:space="preserve">Допринос за здравствено осигурање незапослених лица који плаћа национална служба за запошљавање                                                           </t>
  </si>
  <si>
    <t xml:space="preserve">Допринос за здравствено осигурање корисника пензија и корисника других новчаних накнада који плаћа републички фонд за пио за осигуранике запослене                                                   </t>
  </si>
  <si>
    <t xml:space="preserve">Трансфери од републичког фонда за пио за осигуранике пољопривреднике у корист републичког фонда за здравствено осигурање                                                       </t>
  </si>
  <si>
    <t xml:space="preserve">Трансфери од републичког фонда за пио за осигуранике самосталних делатности у корист републичког фонда за здравствено осигурање                                                      </t>
  </si>
  <si>
    <t xml:space="preserve">Допринос за здравствено осигурање корисника новчаних накнада из члана 224. закона о пензијском и инвалидском осигурању                                                       </t>
  </si>
  <si>
    <t xml:space="preserve">Допринос за здравствено осигурање за лица која остварују накнаду зараде за време привремене спречености за рад (боловање) по прописима о здравственом осигурању, који плаћа републички фонд за здравствено осигурање                                          </t>
  </si>
  <si>
    <t xml:space="preserve">Допринос за здравствено осигурање који плаћа национална служба за запошљавање по члану                                                           </t>
  </si>
  <si>
    <t xml:space="preserve">Допринос за зравствено осигурање корисника војне пензије који плаћа републички фонд за пио - за војне осигуранике                                                      </t>
  </si>
  <si>
    <t xml:space="preserve">Трансфери од организација обавезног социјалног осигурања у корист републичког фонда за пио за осигуранике запослене                                                        </t>
  </si>
  <si>
    <t xml:space="preserve">Допринос за пензијско и инвалидско осигурање незапослених који уплаћује национална служба за запошљавање                                                          </t>
  </si>
  <si>
    <t xml:space="preserve">Допринос за пензијско и инвалидско осигурање запослених који примају накнаду за време привремене спречености за рад (боловање) по прописима о здравственом осигурању, који уплаћује републички фонд за здравствено осигурање                                          </t>
  </si>
  <si>
    <t xml:space="preserve">Допринос за пензијско и инвалидско осигурање који плаћа национална служба за запошљавање по члану 45. закона о доприносима за обавезно социјално осигурање                                                 </t>
  </si>
  <si>
    <t xml:space="preserve">Допринос за пензијско и инвалидско осигурање војних осигураника који примају накнаду за време привремене спречености за рад (боловање)                                                     </t>
  </si>
  <si>
    <t xml:space="preserve">Трансфери од организација обавезног социјалног осигурања у корист републичког фонда за пио за осигуранике  пољопривреднике                                                       </t>
  </si>
  <si>
    <t xml:space="preserve">Трансфери од организација обавезног социјалног осигурања у корист републичког фонда за пио за осигуранике пољопривреднике                                                        </t>
  </si>
  <si>
    <t xml:space="preserve">Трансфери од организација обавезног социјалног осигурања у корист републичког фонда за пио за осигуранике самосталних делатности                                                       </t>
  </si>
  <si>
    <t xml:space="preserve">Допринос за пензијско и инвалидско осигурање за лица која су престала да обављају самосталну делатност, док остварују новчану накнаду према прописима о раду и запошљавању                                              </t>
  </si>
  <si>
    <t xml:space="preserve">Допринос за пензијско и инвалидско осигурање за физичка лица која, у складу са законом, самостално обављају привредну и другу делатност као основно занимање док примају накнаду за време привремене спречености за рад (боловање) по прописима о здравственом осигурању коју плаћа републички фонд за здравствено осигурање или док су на породиљском одсуству                    </t>
  </si>
  <si>
    <t xml:space="preserve">Трансфери од организација обавезног социјалног осигурања у корист националнe службe за запошљавање                                                           </t>
  </si>
  <si>
    <t xml:space="preserve">Допринос за случај незапослености, који плаћа национална служба за запошљавање по члану                                                           </t>
  </si>
  <si>
    <t>790000</t>
  </si>
  <si>
    <t xml:space="preserve">Приходи из буџета                                                                    </t>
  </si>
  <si>
    <t>791110</t>
  </si>
  <si>
    <t>800000</t>
  </si>
  <si>
    <t xml:space="preserve">Примања од продаје нефинансијске имовине                                                                  </t>
  </si>
  <si>
    <t xml:space="preserve">Примања од продаје основних средстава                                                                  </t>
  </si>
  <si>
    <t xml:space="preserve">Примања од продаје непокретности                                                                   </t>
  </si>
  <si>
    <t xml:space="preserve">Примања од продаје непокретности у корист нивоа републике                                                               </t>
  </si>
  <si>
    <t xml:space="preserve">Примања од продаје непокретности у државној својини, осим непокретности које користе органи ап                                                          </t>
  </si>
  <si>
    <t xml:space="preserve">Примања од откупа станова у државној својини                                                                </t>
  </si>
  <si>
    <t xml:space="preserve">Примања од продаје непокретности војске србије                                                                 </t>
  </si>
  <si>
    <t xml:space="preserve">Примања од продаје станова у државној својини које користе државни органи и организације                                                          </t>
  </si>
  <si>
    <t xml:space="preserve">Примања остварена по основу продаје станова намењених за решавање стамбених потреба избеглица                                                           </t>
  </si>
  <si>
    <t xml:space="preserve">Примања од продаје непокретности у државној својини које користе органи територијалних аутономија                                                           </t>
  </si>
  <si>
    <t xml:space="preserve">Примања од продаје непокретности у државној својини које користе органи ап војводина                                                           </t>
  </si>
  <si>
    <t xml:space="preserve">Примања од продаје непокретности у државној својини које користе органи ап косово и метохија                                                         </t>
  </si>
  <si>
    <t xml:space="preserve">Примања од продаје станова у корист нивоа територијалних аутономија                                                              </t>
  </si>
  <si>
    <t xml:space="preserve">Примања од отплате станова у корист нивоа територијалних аутономија                                                              </t>
  </si>
  <si>
    <t xml:space="preserve">Примања по основу обавеза за социјално становање у корист нивоа територијалних аутономија                                                           </t>
  </si>
  <si>
    <t xml:space="preserve">Примања од продаје непокретности у корист нивоа градова                                                               </t>
  </si>
  <si>
    <t xml:space="preserve">Примања од продаје станова у корист нивоа градова                                                               </t>
  </si>
  <si>
    <t xml:space="preserve">Примања од отплате станова у корист нивоа градова                                                               </t>
  </si>
  <si>
    <t xml:space="preserve">Примања по основу обавеза за социјално становање у корист нивоа градова                                                            </t>
  </si>
  <si>
    <t xml:space="preserve">Примања од продаје непокретности у корист нивоа општина                                                               </t>
  </si>
  <si>
    <t xml:space="preserve">Примања од продаје станова у корист нивоа општина                                                               </t>
  </si>
  <si>
    <t xml:space="preserve">Примања од отплате станова у корист нивоа општина                                                               </t>
  </si>
  <si>
    <t xml:space="preserve">Примања по основу обавеза за социјално становање у корист нивоа општина                                                            </t>
  </si>
  <si>
    <t xml:space="preserve">Примања од продаје непокретности у корист организација обавезног социјалног осигурања                                                             </t>
  </si>
  <si>
    <t xml:space="preserve">Примања од продаје непокретности у корист републичког фонда за здравствено осигурање                                                            </t>
  </si>
  <si>
    <t xml:space="preserve">Примања од продаје непокретности у корист републичког фонда за пио                                                             </t>
  </si>
  <si>
    <t xml:space="preserve">Примања од продаје непокретности у корист националне службе за запошљавање                                                             </t>
  </si>
  <si>
    <t xml:space="preserve">Примања од продаје непокретности у покрајинској својини које користе органи територијалних аутономија                                                           </t>
  </si>
  <si>
    <t xml:space="preserve">Примања од продаје непокретности у покрајинској својини које користе органи ап војводина                                                           </t>
  </si>
  <si>
    <t xml:space="preserve">Примања од продаје непокретности у покрајинској својини које користе органи ап косово и метохија                                                         </t>
  </si>
  <si>
    <t xml:space="preserve">Примања од продаје покретне имовине                                                                  </t>
  </si>
  <si>
    <t xml:space="preserve">Примања од продаје покретних ствари у корист нивоа републике                                                              </t>
  </si>
  <si>
    <t xml:space="preserve">Примања од продаје покретних ствари у корист нивоа територијалних аутономија                                                             </t>
  </si>
  <si>
    <t xml:space="preserve">Примања од продаје покретних ствари у корист нивоа ап војводина                                                             </t>
  </si>
  <si>
    <t xml:space="preserve">Примања од продаје покретних ствари у корист нивоа ап косово и метохија                                                           </t>
  </si>
  <si>
    <t xml:space="preserve">Примања од продаје покретних ствари у корист нивоа градова                                                              </t>
  </si>
  <si>
    <t xml:space="preserve">Примања од продаје покретних ствари у корист нивоа општина                                                              </t>
  </si>
  <si>
    <t xml:space="preserve">Примања од продаје покретних ствари у корист организација обавезног социјалног осигурања                                                            </t>
  </si>
  <si>
    <t xml:space="preserve">Примања од продаје покретних ствари у корист републичког фонда за здравствено осигурање                                                           </t>
  </si>
  <si>
    <t xml:space="preserve">Примања од продаје покретних ствари у корист републичког фонда за пио                                                            </t>
  </si>
  <si>
    <t xml:space="preserve">Примања од продаје покретних ствари у корист националне службе за запошљавање                                                            </t>
  </si>
  <si>
    <t xml:space="preserve">Примања од продаје осталих основних средстава                                                                 </t>
  </si>
  <si>
    <t xml:space="preserve">Примања од продаје осталих основних средстава у корист нивоа републике                                                             </t>
  </si>
  <si>
    <t xml:space="preserve">Примања од продаје осталих основних средстава у корист нивоа територијалних аутономија                                                            </t>
  </si>
  <si>
    <t xml:space="preserve">Примања од продаје осталих основних средстава у корист нивоа ап војводина                                                            </t>
  </si>
  <si>
    <t xml:space="preserve">Примања од продаје осталих основних средстава у корист нивоа ап косово и метохија                                                          </t>
  </si>
  <si>
    <t xml:space="preserve">Примања од продаје осталих основних средстава у корист нивоа градова                                                             </t>
  </si>
  <si>
    <t xml:space="preserve">Примања од продаје осталих основних средстава у корист нивоа општина                                                             </t>
  </si>
  <si>
    <t xml:space="preserve">Примања од продаје осталих основних средстава у корист организација обавезног социјалног осигурања                                                           </t>
  </si>
  <si>
    <t xml:space="preserve">Примања од продаје осталих основних средстава у корист републичког фонда за здравствено осигурање                                                          </t>
  </si>
  <si>
    <t xml:space="preserve">Примања од продаје осталих основних средстава у корист републичког фонда за пио                                                           </t>
  </si>
  <si>
    <t xml:space="preserve">Примања од продаје осталих основних средстава у корист националне службе за запошљавање                                                           </t>
  </si>
  <si>
    <t xml:space="preserve">Примања од продаје залиха                                                                   </t>
  </si>
  <si>
    <t xml:space="preserve">Примања од продаје робних резерви                                                                  </t>
  </si>
  <si>
    <t xml:space="preserve">Примања од продаје робних резерви у корист буџета републике                                                              </t>
  </si>
  <si>
    <t xml:space="preserve">Примања од продаје робних резерви у корист нивоа територијалних аутономија                                                             </t>
  </si>
  <si>
    <t xml:space="preserve">Примања од продаје робних резерви у корист нивоа ап војводина                                                             </t>
  </si>
  <si>
    <t xml:space="preserve">Примања од продаје робних резерви у корист нивоа ап косово и метохија                                                           </t>
  </si>
  <si>
    <t xml:space="preserve">Примања од продаје робних резерви у корист нивоа градова                                                              </t>
  </si>
  <si>
    <t xml:space="preserve">Примања од продаје робних резерви у корист нивоа општина                                                              </t>
  </si>
  <si>
    <t xml:space="preserve">Примања од продаје робних резерви у корист организација обавезног социјалног осигурања                                                            </t>
  </si>
  <si>
    <t xml:space="preserve">Примања од продаје робних резерви у корист републичког фонда за здравствено осигурање                                                           </t>
  </si>
  <si>
    <t xml:space="preserve">Примања од продаје робних резерви у корист републичког фонда за пио                                                            </t>
  </si>
  <si>
    <t xml:space="preserve">Примања од продаје робних резерви у корист националне службе за запошљавање                                                            </t>
  </si>
  <si>
    <t xml:space="preserve">Примања од продаје залиха производње                                                                  </t>
  </si>
  <si>
    <t xml:space="preserve">Примања од продаје залиха производње у корист нивоа републике                                                              </t>
  </si>
  <si>
    <t xml:space="preserve">Примања од продаје залиха производње у корист нивоа територијалних аутономија                                                             </t>
  </si>
  <si>
    <t xml:space="preserve">Примања од продаје залиха производње у корист нивоа ап војводина                                                             </t>
  </si>
  <si>
    <t xml:space="preserve">Примања од продаје залиха производње у корист нивоа ап косово и метохија                                                           </t>
  </si>
  <si>
    <t xml:space="preserve">Примања од продаје залиха производње у корист нивоа градова                                                              </t>
  </si>
  <si>
    <t xml:space="preserve">Примања од продаје залиха производње у корист нивоа општина                                                              </t>
  </si>
  <si>
    <t xml:space="preserve">Примања од продаје залиха производње у корист нивоа организација обавезног социјалног осигурања                                                           </t>
  </si>
  <si>
    <t xml:space="preserve">Примања од продаје залиха производње у корист републичког фонда за здравствено осигурање                                                           </t>
  </si>
  <si>
    <t xml:space="preserve">Примања од продаје залиха производње у корист републичког фонда за пио                                                            </t>
  </si>
  <si>
    <t xml:space="preserve">Примања од продаје залиха производње у корист националне службе за запошљавање                                                            </t>
  </si>
  <si>
    <t xml:space="preserve">Примања од продаје робе за даљу продају                                                                </t>
  </si>
  <si>
    <t xml:space="preserve">Примања од продаје робе за даљу продају у корист нивоа републике                                                            </t>
  </si>
  <si>
    <t xml:space="preserve">Примања од продаје робе за даљу продају у корист нивоа територијалних аутономија                                                           </t>
  </si>
  <si>
    <t xml:space="preserve">Примања од продаје робе за даљу продају у корист нивоа ап војводина                                                           </t>
  </si>
  <si>
    <t xml:space="preserve">Примања од продаје робе за даљу продају у корист нивоа ап косово и метохија                                                         </t>
  </si>
  <si>
    <t xml:space="preserve">Примања од продаје робе за даљу продају у корист нивоа градова                                                            </t>
  </si>
  <si>
    <t xml:space="preserve">Примања од продаје робе за даљу продају у корист нивоа општина                                                            </t>
  </si>
  <si>
    <t xml:space="preserve">Примања од продаје робе за даљу продају у корист организација обавезног социјалног осигурања                                                          </t>
  </si>
  <si>
    <t xml:space="preserve">Примања од продаје робе за даљу продају у корист републичког фонда за здравствено осигурање                                                         </t>
  </si>
  <si>
    <t xml:space="preserve">Примања од продаје робе за даљу продају у корист републичког фонда за пио                                                          </t>
  </si>
  <si>
    <t xml:space="preserve">Примања од продаје робе за даљу продају у корист националне службе за запошљавање                                                          </t>
  </si>
  <si>
    <t xml:space="preserve">Примања од продаје драгоцености                                                                   </t>
  </si>
  <si>
    <t xml:space="preserve">Примања од продаје драгоцености у корист буџета републике                                                               </t>
  </si>
  <si>
    <t xml:space="preserve">Примања од продаје драгоцености у корист нивоа територијалних аутономија                                                              </t>
  </si>
  <si>
    <t xml:space="preserve">Примања од продаје драгоцености у корист нивоа ап војводина                                                              </t>
  </si>
  <si>
    <t xml:space="preserve">Примања од продаје драгоцености у корист нивоа ап косово и метохија                                                            </t>
  </si>
  <si>
    <t xml:space="preserve">Примања од продаје драгоцености у корист нивоа градова                                                               </t>
  </si>
  <si>
    <t xml:space="preserve">Примања од продаје драгоцености у корист нивоа општина                                                               </t>
  </si>
  <si>
    <t xml:space="preserve">Примања од продаје драгоцености у корист организација обавезног социјалног осигурања                                                             </t>
  </si>
  <si>
    <t xml:space="preserve">Примања од продаје драгоцености у корист републичког фонда за здравствено осигурање                                                            </t>
  </si>
  <si>
    <t xml:space="preserve">Примања од продаје драгоцености у корист републичког фонда за пио                                                             </t>
  </si>
  <si>
    <t xml:space="preserve">Примања од продаје драгоцености у корист националне службе за запошљавање                                                             </t>
  </si>
  <si>
    <t xml:space="preserve">Примања од продаје природне имовине                                                                  </t>
  </si>
  <si>
    <t xml:space="preserve">Примања од продаје земљишта                                                                   </t>
  </si>
  <si>
    <t xml:space="preserve">Примања од продаје земљишта у корист нивоа републике                                                               </t>
  </si>
  <si>
    <t xml:space="preserve">Примања од продаје земљишта у корист нивоа територијалних аутономија                                                              </t>
  </si>
  <si>
    <t xml:space="preserve">Примања од продаје земљишта у корист нивоа градова                                                               </t>
  </si>
  <si>
    <t xml:space="preserve">Примања од продаје земљишта у корист нивоа општина                                                               </t>
  </si>
  <si>
    <t xml:space="preserve">Примања од продаје земљишта у корист организација обавезног социјалног осигурања                                                             </t>
  </si>
  <si>
    <t xml:space="preserve">Примања од продаје земљишта у корист републичког фонда  за здравствено осигурање                                                           </t>
  </si>
  <si>
    <t xml:space="preserve">Примања од продаје земљишта у корист републичког фонда за пио                                                             </t>
  </si>
  <si>
    <t xml:space="preserve">Примања од продаје земљишта у корист националне службе за запошљавање                                                             </t>
  </si>
  <si>
    <t xml:space="preserve">Примања од продаје подземних блага                                                                  </t>
  </si>
  <si>
    <t xml:space="preserve">Примања од продаје подземних блага у корист нивоа републике                                                              </t>
  </si>
  <si>
    <t xml:space="preserve">Примања од продаје подземних блага у корист нивоа територијалних аутономија                                                             </t>
  </si>
  <si>
    <t xml:space="preserve">Примања од продаје подземних блага у корист нивоа градова                                                              </t>
  </si>
  <si>
    <t xml:space="preserve">Примања од продаје подземних блага у корист нивоа општина                                                              </t>
  </si>
  <si>
    <t xml:space="preserve">Примања од продаје подземних блага у корист организација обавезног социјалног осигурања                                                            </t>
  </si>
  <si>
    <t xml:space="preserve">Примања од продаје подземних блага у корист републичког фонда за здравствено осигурање                                                           </t>
  </si>
  <si>
    <t xml:space="preserve">Примања од продаје подземних блага у корист републичког фонда за пио                                                            </t>
  </si>
  <si>
    <t xml:space="preserve">Примања од продаје подземних блага у корист националне службе за запошљавање                                                            </t>
  </si>
  <si>
    <t xml:space="preserve">Примања од продаје шума и вода                                                                 </t>
  </si>
  <si>
    <t xml:space="preserve">Примања од продаје шума и вода у корист нивоа републике                                                             </t>
  </si>
  <si>
    <t xml:space="preserve">Примања од продаје шума и вода у корист нивоа територијалних аутономија                                                            </t>
  </si>
  <si>
    <t xml:space="preserve">Примања од продаје шума и вода у корист нивоа градова                                                             </t>
  </si>
  <si>
    <t xml:space="preserve">Примања од продаје шума и вода у корист нивоа општина                                                             </t>
  </si>
  <si>
    <t xml:space="preserve">Примања од продаје шума и вода у корист организација обавезног социјалног осигурања                                                           </t>
  </si>
  <si>
    <t xml:space="preserve">Примања од продаје шума и вода у корист републичког фонда за здравствено осигурање                                                          </t>
  </si>
  <si>
    <t xml:space="preserve">Примања од продаје шума и вода у корист републичког фонда за пио                                                           </t>
  </si>
  <si>
    <t xml:space="preserve">Примања од продаје шума и вода у корист националне службе за запошљавање                                                           </t>
  </si>
  <si>
    <t>900000</t>
  </si>
  <si>
    <t xml:space="preserve">Примања од задуживања и продаје финансијске имовине                                                                </t>
  </si>
  <si>
    <t>910000</t>
  </si>
  <si>
    <t xml:space="preserve">Примања од задуживања                                                                    </t>
  </si>
  <si>
    <t xml:space="preserve">Примања од домаћих задуживања                                                                   </t>
  </si>
  <si>
    <t xml:space="preserve">Примања од емитовања домаћих хартија од вредности, изузев акција                                                              </t>
  </si>
  <si>
    <t xml:space="preserve">Примања од емитовања домаћих хартија од вредности, изузев акција, у корист нивоа републике                                                          </t>
  </si>
  <si>
    <t xml:space="preserve">Примања од емитовања домаћих хартија од вредности, изузев акција, у корист нивоа територијалних аутономија                                                         </t>
  </si>
  <si>
    <t xml:space="preserve">Примања од емитовања домаћих хартија од вредности, изузев акција, у корист нивоа ап војводина                                                         </t>
  </si>
  <si>
    <t xml:space="preserve">Примања од емитовања домаћих хартија од вредности, изузев акција, у корист нивоа ап косово и метохија                                                       </t>
  </si>
  <si>
    <t xml:space="preserve">Примања од емитовања домаћих хартија од вредности, изузев акција, у корист нивоа градова                                                          </t>
  </si>
  <si>
    <t xml:space="preserve">Примања од емитовања домаћих хартија од вредности, изузев акција, у корист нивоа општина                                                          </t>
  </si>
  <si>
    <t xml:space="preserve">Примања од емитовања домаћих хартија од вредности, изузев акција, у корист организација обавезног социјалног осигурања                                                        </t>
  </si>
  <si>
    <t xml:space="preserve">Примања од емитовања домаћих хартија од вредности, изузев акција, у корист републичког фонда за здравствено осигурање                                                       </t>
  </si>
  <si>
    <t xml:space="preserve">Примања од емитовања домаћих хартија од вредности, изузев акција, у корист републичког фонда за пио                                                        </t>
  </si>
  <si>
    <t xml:space="preserve">Примања од емитовања домаћих хартија од вредности, изузев акција, у корист националне службе за запошљавање                                                        </t>
  </si>
  <si>
    <t xml:space="preserve">Примања од задуживања од осталих нивоа власти                                                                </t>
  </si>
  <si>
    <t xml:space="preserve">Примања од задуживања од осталих нивоа власти у корист нивоа републике                                                            </t>
  </si>
  <si>
    <t xml:space="preserve">Примања од задуживања од осталих нивоа власти у корист нивоа територијалних аутономија                                                           </t>
  </si>
  <si>
    <t xml:space="preserve">Примања од задуживања од осталих нивоа власти у корист нивоа ап војводина                                                           </t>
  </si>
  <si>
    <t xml:space="preserve">Примања од задуживања од осталих нивоа власти у корист нивоа ап косово и метохија                                                         </t>
  </si>
  <si>
    <t xml:space="preserve">Примања од задуживања од осталих нивоа власти у корист нивоа градова                                                            </t>
  </si>
  <si>
    <t xml:space="preserve">Примања од задуживања од осталих нивоа власти у корист нивоа општина                                                            </t>
  </si>
  <si>
    <t xml:space="preserve">Примања од задуживања од осталих нивоа власти у корист организација обавезног социјалног осигурања                                                          </t>
  </si>
  <si>
    <t xml:space="preserve">Примања од задуживања од осталих нивоа власти у корист републичког фонда за здравствено осигурање                                                         </t>
  </si>
  <si>
    <t xml:space="preserve">Примања од задуживања од осталих нивоа власти у корист републичког фонда за пио                                                          </t>
  </si>
  <si>
    <t xml:space="preserve">Примања од задуживања од осталих нивоа власти у корист националне службе за запошљавање                                                          </t>
  </si>
  <si>
    <t xml:space="preserve">Примања од задуживања од јавних финансијских институција у земљи                                                              </t>
  </si>
  <si>
    <t xml:space="preserve">Примања од задуживања од јавних финансијских институција у земљи у корист нивоа републике                                                          </t>
  </si>
  <si>
    <t xml:space="preserve">Примања од задуживања од јавних финансијских институција у земљи у корист нивоа територијалних аутономија                                                         </t>
  </si>
  <si>
    <t xml:space="preserve">Примања од задуживања од јавних финансијских институција у земљи у корист нивоа градова                                                          </t>
  </si>
  <si>
    <t xml:space="preserve">Примања од задуживања од јавних финансијских институција у земљи у корист нивоа општина                                                          </t>
  </si>
  <si>
    <t xml:space="preserve">Примања од задуживања од јавних финансијских институција у земљи у корист организација обавезног социјалног осигурања                                                        </t>
  </si>
  <si>
    <t xml:space="preserve">Примања од задуживања од јавних финансијских институција у земљи у корист републичког фонда за здравствено осигурање                                                       </t>
  </si>
  <si>
    <t xml:space="preserve">Примања од задуживања од јавних финансијских институција у земљи у корист републичког фонда за пио                                                        </t>
  </si>
  <si>
    <t xml:space="preserve">Примања од задуживања од јавних финансијских институција у земљи у корист националне службе за запошљавање                                                        </t>
  </si>
  <si>
    <t xml:space="preserve">Примања од задуживања од пословних банака у земљи                                                               </t>
  </si>
  <si>
    <t xml:space="preserve">Примања од задуживања од пословних банака у земљи у корист нивоа републике                                                           </t>
  </si>
  <si>
    <t xml:space="preserve">Примања од задуживања од пословних банака у земљи у корист нивоа територијалних аутономија                                                          </t>
  </si>
  <si>
    <t xml:space="preserve">Примања од задуживања од пословних банака у земљи у корист нивоа ап војводина                                                          </t>
  </si>
  <si>
    <t xml:space="preserve">Примања од задуживања од пословних банака у земљи у корист нивоа ап косово и метохија                                                        </t>
  </si>
  <si>
    <t xml:space="preserve">Примања од задуживања од пословних банака у земљи у корист нивоа градова                                                           </t>
  </si>
  <si>
    <t>911441</t>
  </si>
  <si>
    <t xml:space="preserve">Примања од задуживања од пословних банака у земљи у корист нивоа општина                                                           </t>
  </si>
  <si>
    <t xml:space="preserve">Примања од задуживања од пословних банака у земљи у корист организација обавезног социјалног осигурања                                                         </t>
  </si>
  <si>
    <t xml:space="preserve">Примања од задуживања од пословних банака у земљи у корист републичког фонда за здравствено осигурање                                                        </t>
  </si>
  <si>
    <t xml:space="preserve">Примања од задуживања од пословних банака у земљи у корист републичког фонда за пио                                                         </t>
  </si>
  <si>
    <t xml:space="preserve">Примања од задуживања од пословних банака у земљи у корист националне службе за запошљавање                                                         </t>
  </si>
  <si>
    <t xml:space="preserve">Примања од задуживања код осталих поверилаца у земљи                                                               </t>
  </si>
  <si>
    <t xml:space="preserve">Примања од задуживања код осталих поверилаца у земљи у корист нивоа републике                                                           </t>
  </si>
  <si>
    <t xml:space="preserve">Примања од задуживања код осталих поверилаца у земљи у корист нивоа територијалних аутономија                                                          </t>
  </si>
  <si>
    <t xml:space="preserve">Примања од задуживања код осталих поверилаца у земљи у корист нивоа ап војводина                                                          </t>
  </si>
  <si>
    <t xml:space="preserve">Примања од задуживања код осталих поверилаца у земљи у корист нивоа ап косово и метохија                                                        </t>
  </si>
  <si>
    <t xml:space="preserve">Примања од задуживања код осталих поверилаца у земљи у корист нивоа градова                                                           </t>
  </si>
  <si>
    <t xml:space="preserve">Примања од задуживања код осталих поверилаца у земљи у корист нивоа општина                                                           </t>
  </si>
  <si>
    <t xml:space="preserve">Примања од задуживања код осталих поверилаца у земљи у корист организација обавезног социјалног осигурања                                                         </t>
  </si>
  <si>
    <t xml:space="preserve">Примања од задуживања код осталих поверилаца у земљи у корист републичког фонда за здравствено осигурање                                                        </t>
  </si>
  <si>
    <t xml:space="preserve">Примања од задуживања код осталих поверилаца у земљи у корист републичког фонда за пио                                                         </t>
  </si>
  <si>
    <t xml:space="preserve">Примања од задуживања код осталих поверилаца у земљи у корист националне службе за запошљавање                                                         </t>
  </si>
  <si>
    <t xml:space="preserve">Примања од задуживања од домаћинстава у земљи                                                                </t>
  </si>
  <si>
    <t xml:space="preserve">Примања од задуживања од домаћинстава у земљи у корист нивоа републике                                                            </t>
  </si>
  <si>
    <t xml:space="preserve">Примања од задуживања од домаћинстава у земљи у корист нивоа територијалних аутономија                                                           </t>
  </si>
  <si>
    <t xml:space="preserve">Примања од задуживања од домаћинстава у земљи у корист нивоа градова                                                            </t>
  </si>
  <si>
    <t xml:space="preserve">Примања од задуживања од домаћинстава у земљи у корист нивоа општина                                                            </t>
  </si>
  <si>
    <t xml:space="preserve">Примања од задуживања од домаћинстава у земљи у корист организација обавезног социјалног осигурања                                                          </t>
  </si>
  <si>
    <t xml:space="preserve">Примања од задуживања од домаћинстава у земљи у корист републичког фонда за здравствено осигурање                                                         </t>
  </si>
  <si>
    <t xml:space="preserve">Примања од задуживања од домаћинстава у земљи у корист републичког фонда за пио                                                          </t>
  </si>
  <si>
    <t xml:space="preserve">Примања од задуживања од домаћинстава у земљи у корист националне службе за запошљавање                                                          </t>
  </si>
  <si>
    <t xml:space="preserve">Примања од домаћих финансијских деривата                                                                  </t>
  </si>
  <si>
    <t xml:space="preserve">Примања од домаћих финансијских деривата у корист нивоа републике                                                              </t>
  </si>
  <si>
    <t xml:space="preserve">Примања од домаћих финансијских деривата у корист нивоа територијалних аутономија                                                             </t>
  </si>
  <si>
    <t xml:space="preserve">Примања од домаћих финансијских деривата у корист нивоа градова                                                              </t>
  </si>
  <si>
    <t xml:space="preserve">Примања од домаћих финансијских деривата у корист нивоа општина                                                              </t>
  </si>
  <si>
    <t xml:space="preserve">Примања од домаћих финансијских деривата у корист организација обавезног социјалног осигурања                                                            </t>
  </si>
  <si>
    <t xml:space="preserve">Примања од домаћих финансијских деривата у корист републичког фонда за здравствено осигурање                                                           </t>
  </si>
  <si>
    <t xml:space="preserve">Примања од домаћих финансијских деривата у корист републичког фонда за пио                                                            </t>
  </si>
  <si>
    <t xml:space="preserve">Примања од домаћих финансијских деривата у корист националне службе за запошљавање                                                            </t>
  </si>
  <si>
    <t xml:space="preserve">Примања од домаћих меница                                                                   </t>
  </si>
  <si>
    <t xml:space="preserve">Примања од домаћих меница у корист нивоа републике                                                               </t>
  </si>
  <si>
    <t xml:space="preserve">Примања од домаћих меница у корист нивоа територијалних аутономија                                                              </t>
  </si>
  <si>
    <t xml:space="preserve">Примања од домаћих меница у корист нивоа ап војводина                                                              </t>
  </si>
  <si>
    <t xml:space="preserve">Примања од домаћих меница у корист нивоа ап косово и метохија                                                            </t>
  </si>
  <si>
    <t xml:space="preserve">Примања од домаћих меница у корист нивоа градова                                                               </t>
  </si>
  <si>
    <t xml:space="preserve">Примања од домаћих меница у корист нивоа општина                                                               </t>
  </si>
  <si>
    <t xml:space="preserve">Примања од домаћих меница у корист организација обавезног социјалног осигурања                                                             </t>
  </si>
  <si>
    <t xml:space="preserve">Примања од домаћих меница у корист републичког фонда за здравствено осигурање                                                            </t>
  </si>
  <si>
    <t xml:space="preserve">Примања од домаћих меница у корист републичког фонда за пио                                                             </t>
  </si>
  <si>
    <t xml:space="preserve">Примања од домаћих меница у корист националне службе за запошљавање                                                             </t>
  </si>
  <si>
    <t xml:space="preserve">Примања од исправке унутрашњег дуга у корист нивоа републике                                                              </t>
  </si>
  <si>
    <t xml:space="preserve">Примања од исправке унутрашњег дуга у корист нивоа територијалних аутономија                                                             </t>
  </si>
  <si>
    <t xml:space="preserve">Примања од исправке унутрашњег дуга у корист нивоа ап војводина                                                             </t>
  </si>
  <si>
    <t xml:space="preserve">Примања од исправке унутрашњег дуга у корист нивоа ап косово и метохија                                                           </t>
  </si>
  <si>
    <t xml:space="preserve">Примања од исправке унутрашњег дуга у корист нивоа градова                                                              </t>
  </si>
  <si>
    <t xml:space="preserve">Примања од исправке унутрашњег дуга у корист нивоа општина                                                              </t>
  </si>
  <si>
    <t xml:space="preserve">Примања од исправке унутрашњег дуга у корист организација обавезног социјалног осигурања                                                            </t>
  </si>
  <si>
    <t xml:space="preserve">Примања од исправке унутрашњег дуга у корист републичког фонда за здравствено осигурање                                                           </t>
  </si>
  <si>
    <t xml:space="preserve">Примања од исправке унутрашњег дуга у корист републичког фонда за пио                                                            </t>
  </si>
  <si>
    <t xml:space="preserve">Примања од исправке унутрашњег дуга у корист националне службе за запошљавање                                                            </t>
  </si>
  <si>
    <t xml:space="preserve">Примања од иностраног задуживања                                                                   </t>
  </si>
  <si>
    <t xml:space="preserve">Примања од емитовања хартија од вредности, изузев акција, на иностраном финансијском тржишту                                                           </t>
  </si>
  <si>
    <t xml:space="preserve">Примања од емитовања хартија од вредности, изузев акција, на иностраном финансијском тржишту у корист нивоа републике                                                       </t>
  </si>
  <si>
    <t xml:space="preserve">Примања од емитовања хартија од вредности, изузев акција, на иностраном финансијском тржишту у корист нивоа територијалних аутономија                                                      </t>
  </si>
  <si>
    <t xml:space="preserve">Примања од емитовања хартија од вредности, изузев акција, на иностраном финансијском тржишту у корист нивоа градова                                                       </t>
  </si>
  <si>
    <t xml:space="preserve">Примања од емитовања хартија од вредности, изузев акција, , на иностраном финансијском тржишту у корист нивоа градова                                                      </t>
  </si>
  <si>
    <t xml:space="preserve">Примања од емитовања хартија од вредности, изузев акција, на иностраном финансијском тржишту у корист нивоа општина                                                       </t>
  </si>
  <si>
    <t xml:space="preserve">Примања од емитовања хартија од вредности, изузев акција,  на иностраном финансијском тржишту у корист организација обавезног социјалног осигурања                                                    </t>
  </si>
  <si>
    <t xml:space="preserve">Примања од емитовања хартија од вредности, изузев акција, на иностраном финансијском тржишту у корист републичког фонда за здравствено осигурање                                                    </t>
  </si>
  <si>
    <t xml:space="preserve">Примања од емитовања  хартија од вредности, изузев акција, на иностраном финансијском тржишту у корист републичког фонда за пио                                                    </t>
  </si>
  <si>
    <t xml:space="preserve">Примања од емитовања хартија од вредности, изузев акција, на иностраном финансијском тржишту у корист националне службе за запошљавање                                                     </t>
  </si>
  <si>
    <t xml:space="preserve">Примања од задуживања од иностраних држава                                                                 </t>
  </si>
  <si>
    <t xml:space="preserve">Примања од задуживања од иностраних држава у корист нивоа републике                                                             </t>
  </si>
  <si>
    <t xml:space="preserve">Примања од задуживања од иностраних држава у корист нивоа територијалних аутономија                                                            </t>
  </si>
  <si>
    <t xml:space="preserve">Примања од задуживања од иностраних држава у корист нивоа ап војводина                                                            </t>
  </si>
  <si>
    <t xml:space="preserve">Примања од задуживања од иностраних држава у корист нивоа ап косово и метохија                                                          </t>
  </si>
  <si>
    <t xml:space="preserve">Примања од задуживања од иностраних држава у корист нивоа градова                                                             </t>
  </si>
  <si>
    <t xml:space="preserve">Примања од задуживања од иностраних држава у корист нивоа општина                                                             </t>
  </si>
  <si>
    <t xml:space="preserve">Примања од задуживања од иностраних држава у корист организација обавезног социјалног осигурања                                                           </t>
  </si>
  <si>
    <t xml:space="preserve">Примања од задуживања од иностраних држава у корист републичког фонда за здравствено осигурање                                                          </t>
  </si>
  <si>
    <t xml:space="preserve">Примања од задуживања од иностраних држава у корист републичког фонда за пио                                                           </t>
  </si>
  <si>
    <t xml:space="preserve">Примања од задуживања од иностраних држава у корист националне службе за запошљавање                                                           </t>
  </si>
  <si>
    <t xml:space="preserve">Примања од задуживања од мултилатералних институција                                                                 </t>
  </si>
  <si>
    <t xml:space="preserve">Примања од задуживања од мултилатералних институција у корист нивоа републике                                                             </t>
  </si>
  <si>
    <t xml:space="preserve">Примања од задуживања од мултилатералних институција у корист нивоа територијалних аутономија                                                            </t>
  </si>
  <si>
    <t xml:space="preserve">Примања од задуживања од мултилатералних институција у корист нивоа ап војводина                                                            </t>
  </si>
  <si>
    <t xml:space="preserve">Примања од задуживања од мултилатералних институција у корист нивоа ап косово и метохија                                                          </t>
  </si>
  <si>
    <t xml:space="preserve">Примања од задуживања од мултилатералних институција у корист нивоа градова                                                             </t>
  </si>
  <si>
    <t xml:space="preserve">Примања од задуживања од мултилатералних институција у корист нивоа општина                                                             </t>
  </si>
  <si>
    <t xml:space="preserve">Примања од задуживања од мултилатералних институција у корист организација обавезног социјалног осигурања                                                           </t>
  </si>
  <si>
    <t xml:space="preserve">Примања од задуживања од мултилатералних институција у корист републичког фонда за здравствено осигурање                                                          </t>
  </si>
  <si>
    <t xml:space="preserve">Примања од задуживања од мултилатералних институција у корист републичког фонда за пио                                                           </t>
  </si>
  <si>
    <t xml:space="preserve">Примања од задуживања од мултилатералних институција у корист националне службе за запошљавање                                                           </t>
  </si>
  <si>
    <t xml:space="preserve">Примања од задуживања од иностраних пословних банака                                                                </t>
  </si>
  <si>
    <t xml:space="preserve">Примања од задуживања од иностраних пословних банака у корист нивоа републике                                                            </t>
  </si>
  <si>
    <t xml:space="preserve">Примања од задуживања од иностраних пословних банака у корист нивоа територијалних аутономија                                                           </t>
  </si>
  <si>
    <t xml:space="preserve">Примања од задуживања од иностраних пословних банака у корист нивоа ап војводина                                                           </t>
  </si>
  <si>
    <t xml:space="preserve">Примања од задуживања од иностраних пословних банака у корист нивоа ап косово и метохија                                                         </t>
  </si>
  <si>
    <t xml:space="preserve">Примања од задуживања од иностраних пословних банака у корист нивоа градова                                                            </t>
  </si>
  <si>
    <t xml:space="preserve">Примања од задуживања од иностраних пословних банака у корист нивоа општина                                                            </t>
  </si>
  <si>
    <t xml:space="preserve">Примања од задуживања од иностраних пословних банака у корист организација обавезног социјалног осигурања                                                          </t>
  </si>
  <si>
    <t xml:space="preserve">Примања од задуживања од иностраних пословних банака у корист републичког фонда за здравствено осигурање                                                         </t>
  </si>
  <si>
    <t xml:space="preserve">Примања од задуживања од иностраних пословних банака у корист републичког фонда за пио                                                          </t>
  </si>
  <si>
    <t xml:space="preserve">Примања од задуживања од иностраних пословних банака у корист националне службе за запошљавање                                                          </t>
  </si>
  <si>
    <t xml:space="preserve">Примања од задуживања од осталих иностраних поверилаца                                                                </t>
  </si>
  <si>
    <t xml:space="preserve">Примања од задуживања од осталих иностраних поверилаца у корист нивоа републике                                                            </t>
  </si>
  <si>
    <t xml:space="preserve">Примања од задуживања од осталих иностраних поверилаца у корист нивоа територијалних аутономија                                                           </t>
  </si>
  <si>
    <t xml:space="preserve">Примања од задуживања од осталих иностраних поверилаца у корист нивоа ап војводина                                                           </t>
  </si>
  <si>
    <t xml:space="preserve">Примања од задуживања од осталих иностраних поверилаца у корист нивоа ап косово и метохија                                                         </t>
  </si>
  <si>
    <t xml:space="preserve">Примања од задуживања од осталих иностраних поверилаца у корист нивоа градова                                                            </t>
  </si>
  <si>
    <t xml:space="preserve">Примања од задуживања од осталих иностраних поверилаца у корист нивоа општина                                                            </t>
  </si>
  <si>
    <t xml:space="preserve">Примања од задуживања од осталих иностраних поверилаца у корист организација обавезног социјалног осигурања                                                          </t>
  </si>
  <si>
    <t xml:space="preserve">Примања од задуживања од осталих иностраних поверилаца у корист републичког фонда за здравствено осигурање                                                         </t>
  </si>
  <si>
    <t xml:space="preserve">Примања од задуживања од осталих иностраних поверилаца у корист републичког фонда за пио                                                          </t>
  </si>
  <si>
    <t xml:space="preserve">Примања од задуживања од осталих иностраних поверилаца у корист националне службе за запошљавање                                                          </t>
  </si>
  <si>
    <t xml:space="preserve">Примања од иностраних финансијских деривата                                                                  </t>
  </si>
  <si>
    <t xml:space="preserve">Примања од иностраних финансијских деривата у корист нивоа републике                                                              </t>
  </si>
  <si>
    <t xml:space="preserve">Примања од иностраних финансијских деривата у корист нивоа територијалних аутономија                                                             </t>
  </si>
  <si>
    <t xml:space="preserve">Примања од иностраних финансијских деривата у корист нивоа градова                                                              </t>
  </si>
  <si>
    <t xml:space="preserve">Примања од иностраних финансијских деривата у корист нивоа општина                                                              </t>
  </si>
  <si>
    <t xml:space="preserve">Примања од иностраних финансијских деривата у корист организација обавезног социјалног осигурања                                                            </t>
  </si>
  <si>
    <t xml:space="preserve">Примања од иностраних финансијских деривата у корист републичког фонда за здравствено осигурање                                                           </t>
  </si>
  <si>
    <t xml:space="preserve">Примања од иностраних финансијских деривата у корист републичког фонда за пио                                                            </t>
  </si>
  <si>
    <t xml:space="preserve">Примања од иностраних финансијских деривата у корист националне службе за запошљавање                                                            </t>
  </si>
  <si>
    <t xml:space="preserve">Примања од исправке спољног дуга у корист нивоа републике                                                              </t>
  </si>
  <si>
    <t xml:space="preserve">Примања од исправке спољног дуга у корист нивоа територијалних аутономија                                                             </t>
  </si>
  <si>
    <t xml:space="preserve">Примања од исправке спољног дуга у корист нивоа ап војводина                                                             </t>
  </si>
  <si>
    <t xml:space="preserve">Примања од исправке спољног дуга у корист нивоа ап косово и метохија                                                           </t>
  </si>
  <si>
    <t xml:space="preserve">Примања од исправке спољног дуга у корист нивоа градова                                                              </t>
  </si>
  <si>
    <t xml:space="preserve">Примања од исправке спољног дуга у корист нивоа општина                                                              </t>
  </si>
  <si>
    <t xml:space="preserve">Примања од исправке спољног дуга у корист организација обавезног социјалног осигурања                                                            </t>
  </si>
  <si>
    <t xml:space="preserve">Примања од исправке спољног дуга у корист републичког фонда за здравствено осигурање                                                           </t>
  </si>
  <si>
    <t xml:space="preserve">Примања од исправке спољног дуга у корист републичког фонда за пио                                                            </t>
  </si>
  <si>
    <t xml:space="preserve">Примања од исправке спољног дуга у корист националне службе за запошљавање                                                            </t>
  </si>
  <si>
    <t>920000</t>
  </si>
  <si>
    <t xml:space="preserve">Примања од продаје домаће финансијске имовине                                                                 </t>
  </si>
  <si>
    <t xml:space="preserve">Примања од продаје домаћих хартија од вредности, изузев акција                                                              </t>
  </si>
  <si>
    <t xml:space="preserve">Примања од продаје домаћих хартија од вредности, изузев акција, у корист нивоа републике                                                          </t>
  </si>
  <si>
    <t xml:space="preserve">Примања од продаје домаћих хартија од вредности, изузев акција, у корист нивоа територијалних аутономија                                                         </t>
  </si>
  <si>
    <t xml:space="preserve">Примања од продаје домаћих хартија од вредности, изузев акција, у корист нивоа ап војводина                                                         </t>
  </si>
  <si>
    <t xml:space="preserve">Примања од продаје домаћих хартија од вредности, изузев акција, у корист нивоа ап косово и метохија                                                       </t>
  </si>
  <si>
    <t xml:space="preserve">Примања од продаје домаћих хартија од вредности, изузев акција, у корист нивоа градова                                                          </t>
  </si>
  <si>
    <t xml:space="preserve">Примања од продаје домаћих хартија од вредности, изузев акција, у корист нивоа општина                                                          </t>
  </si>
  <si>
    <t xml:space="preserve">Примања од продаје домаћих хартија од вредности, изузев акција, у корист организација обавезног социјалног осигурања                                                        </t>
  </si>
  <si>
    <t xml:space="preserve">Примања од продаје домаћих хартија од вредности, изузев акција, у корист републичког фонда за здравствено осигурање                                                       </t>
  </si>
  <si>
    <t xml:space="preserve">Примања од продаје домаћих хартија од вредности, изузев акција, у корист републичког фонда за пио                                                        </t>
  </si>
  <si>
    <t xml:space="preserve">Примања од продаје домаћих хартија од вредности, изузев акција, у корист националне службе за запошљавање                                                        </t>
  </si>
  <si>
    <t xml:space="preserve">Примања од отплате кредита датих осталим нивоима власти у корист нивоа републике                                                           </t>
  </si>
  <si>
    <t xml:space="preserve">Примања од отплате кредита датих осталим нивоима власти у корист нивоа територијалних аутономија                                                          </t>
  </si>
  <si>
    <t xml:space="preserve">Примања од отплате кредита датих осталим нивоима власти у корист нивоа ап војводина                                                          </t>
  </si>
  <si>
    <t xml:space="preserve">Примања од отплате кредита датих осталим нивоима власти у корист нивоа ап косово и метохија                                                        </t>
  </si>
  <si>
    <t xml:space="preserve">Примања од отплате кредита датих осталим нивоима власти у корист нивоа градова                                                           </t>
  </si>
  <si>
    <t xml:space="preserve">Примања од отплате кредита датих осталим нивоима власти у корист нивоа општина                                                           </t>
  </si>
  <si>
    <t xml:space="preserve">Примања од отплате кредита датих осталим нивоима власти у корист организација обавезног социјалног осигурања                                                         </t>
  </si>
  <si>
    <t xml:space="preserve">Примања од отплате кредита датих осталим нивоима власти у корист републичког фонда за здравствено осигурање                                                        </t>
  </si>
  <si>
    <t xml:space="preserve">Примања од отплате кредита датих осталим нивоима власти у корист републичког фонда за пио                                                         </t>
  </si>
  <si>
    <t xml:space="preserve">Примања од отплате кредита датих осталим нивоима власти у корист националне службе за запошљавање                                                         </t>
  </si>
  <si>
    <t xml:space="preserve">Примања од отплате кредита датих домаћим јавним финансијским институцијама                                                              </t>
  </si>
  <si>
    <t xml:space="preserve">Примања од отплате кредита датих домаћим јавним финансијским институцијама у корист нивоа републике                                                          </t>
  </si>
  <si>
    <t xml:space="preserve">Примања од отплате кредита датих домаћим јавним финансијским институцијама у корист нивоа територијалних аутономија                                                         </t>
  </si>
  <si>
    <t xml:space="preserve">Примања од отплате кредита датих домаћим јавним финансијским институцијама у корист нивоа градова                                                          </t>
  </si>
  <si>
    <t xml:space="preserve">Примања од отплате кредита датих домаћим јавним финансијским институцијама у корист нивоа општина                                                          </t>
  </si>
  <si>
    <t xml:space="preserve">Примања од отплате кредита датих домаћим јавним финансијским институцијама у корист организација обавезног социјалног осигурања                                                        </t>
  </si>
  <si>
    <t xml:space="preserve">Примања од отплате кредита датих домаћим јавним финансијским институцијама у корист републичког фонда за здравствено осигурање                                                       </t>
  </si>
  <si>
    <t xml:space="preserve">Примања од отплате кредита датих домаћим јавним финансијским институцијама у корист републичког фонда за пио                                                        </t>
  </si>
  <si>
    <t xml:space="preserve">Примања од отплате кредита датих домаћим јавним финансијским институцијама у корист националне службе за запошљавање                                                        </t>
  </si>
  <si>
    <t xml:space="preserve">Примања од отплате кредита датих домаћим пословним банкама                                                               </t>
  </si>
  <si>
    <t xml:space="preserve">Примања од отплате кредита датих домаћим пословним банкама у корист нивоа републике                                                           </t>
  </si>
  <si>
    <t xml:space="preserve">Примања од отплате кредита датих домаћим пословним банкама у корист нивоа територијалних аутономија                                                          </t>
  </si>
  <si>
    <t xml:space="preserve">Примања од отплате кредита датих домаћим пословним банкама у корист нивоа градова                                                           </t>
  </si>
  <si>
    <t xml:space="preserve">Примања од отплате кредита датих домаћим пословним банкама у корист нивоа општина                                                           </t>
  </si>
  <si>
    <t xml:space="preserve">Примања од отплате кредита датих домаћим пословним банкама у корист организација обавезног социјалног осигурања                                                         </t>
  </si>
  <si>
    <t xml:space="preserve">Примања од отплате кредита датих домаћим пословним банкама у корист републичког фонда за здравствено осигурање                                                        </t>
  </si>
  <si>
    <t xml:space="preserve">Примања од отплате кредита датих домаћим пословним банкама у корист републичког фонда за пио                                                         </t>
  </si>
  <si>
    <t xml:space="preserve">Примања од отплате кредита датих домаћим пословним банкама у корист националне службе за запошљавање                                                         </t>
  </si>
  <si>
    <t xml:space="preserve">Примања од отплате кредита датих домаћим јавним нефинансијским институцијама                                                              </t>
  </si>
  <si>
    <t xml:space="preserve">Примања од отплате кредита датих домаћим јавним нефинансијским институцијама у корист нивоа републике                                                          </t>
  </si>
  <si>
    <t xml:space="preserve">Примања од отплате кредита датих домаћим јавним нефинансијским институцијама у корист нивоа територијалних аутономија                                                         </t>
  </si>
  <si>
    <t xml:space="preserve">Примања од отплате кредита датих домаћим јавним нефинансијским институцијама у корист нивоа ап војводина                                                         </t>
  </si>
  <si>
    <t xml:space="preserve">Примања од отплате кредита датих домаћим јавним нефинансијским институцијама у корист нивоа ап косово и метохија                                                       </t>
  </si>
  <si>
    <t xml:space="preserve">Примања од отплате кредита датих домаћим јавним нефинансијским институцијама у корист нивоа градова                                                          </t>
  </si>
  <si>
    <t xml:space="preserve">Примања од отплате кредита датих домаћим јавним нефинансијским институцијама у корист нивоа општина                                                          </t>
  </si>
  <si>
    <t xml:space="preserve">Примања од отплате кредита датих домаћим јавним нефинансијским институцијама у корист организација обавезног социјалног осигурања                                                        </t>
  </si>
  <si>
    <t xml:space="preserve">Примања од отплате кредита датих домаћим јавним нефинансијским институцијама у корист републичког фонда за здравствено осигурање                                                       </t>
  </si>
  <si>
    <t xml:space="preserve">Примања од отплате кредита датих домаћим јавним нефинансијским институцијама у корист републичког фонда за пио                                                        </t>
  </si>
  <si>
    <t xml:space="preserve">Примања од отплате кредита датих домаћим јавним нефинансијским институцијама у корист националне службе за запошљавање                                                        </t>
  </si>
  <si>
    <t xml:space="preserve">Примања од отплате кредита датих физичким лицима и домаћинствима у земљи                                                            </t>
  </si>
  <si>
    <t xml:space="preserve">Примања од отплате кредита датих домаћинствима у земљи у корист нивоа републике                                                           </t>
  </si>
  <si>
    <t xml:space="preserve">Примања од отплате кредита датих домаћинствима у земљи у корист нивоа територијалних аутономија                                                          </t>
  </si>
  <si>
    <t xml:space="preserve">Примања од отплате кредита датих домаћинствима у земљи у корист нивоа ап војводина                                                          </t>
  </si>
  <si>
    <t xml:space="preserve">Примања од отплате кредита датих домаћинствима у земљи у корист нивоа ап косово и метохија                                                        </t>
  </si>
  <si>
    <t xml:space="preserve">Примања од отплате кредита датих домаћинствима у земљи у корист нивоа градова                                                           </t>
  </si>
  <si>
    <t xml:space="preserve">Примања од отплате кредита датих домаћинствима у земљи у корист нивоа општина                                                           </t>
  </si>
  <si>
    <t xml:space="preserve">Примања од отплате кредита датих домаћинствима у земљи у корист организација обавезног социјалног осигурања                                                         </t>
  </si>
  <si>
    <t xml:space="preserve">Примања од отплате кредита датих домаћинствима у земљи у корист републичког фонда за здравствено осигурање                                                        </t>
  </si>
  <si>
    <t xml:space="preserve">Примања од отплате кредита датих домаћинствима у земљи у корист републичког фонда за пио                                                         </t>
  </si>
  <si>
    <t xml:space="preserve">Примања од отплате кредита датих домаћинствима у земљи у корист националне службе за запошљавање                                                         </t>
  </si>
  <si>
    <t xml:space="preserve">Примања од отплате кредита датих удружењима грађана у земљи                                                              </t>
  </si>
  <si>
    <t xml:space="preserve">Примања од отплате кредита датих удружењима грађана у земљи у корист нивоа републике                                                          </t>
  </si>
  <si>
    <t xml:space="preserve">Примања од отплате кредита датих удружењима грађана у земљи у корист нивоа територијалних аутономија                                                         </t>
  </si>
  <si>
    <t xml:space="preserve">Примања од отплате кредита датих удружењима грађана у земљи у корист нивоа ап војводина                                                         </t>
  </si>
  <si>
    <t xml:space="preserve">Примања од отплате кредита датих удружењима грађана у земљи у корист нивоа ап косово и метохија                                                       </t>
  </si>
  <si>
    <t xml:space="preserve">Примања од отплате кредита датих удружењима грађана у земљи у корист нивоа градова                                                          </t>
  </si>
  <si>
    <t xml:space="preserve">Примања од отплате кредита датих удружењима грађана у земљи у корист нивоа општина                                                          </t>
  </si>
  <si>
    <t xml:space="preserve">Примања од отплате кредита датих удружењима грађана у земљи у корист организација обавезног социјалног осигурања                                                        </t>
  </si>
  <si>
    <t xml:space="preserve">Примања од отплате кредита датих удружењима грађана у земљи у корист републичког фонда за здравствено осигурање                                                       </t>
  </si>
  <si>
    <t xml:space="preserve">Примања од отплате кредита датих удружењима грађана у земљи у корист републичког фонда за пио                                                        </t>
  </si>
  <si>
    <t xml:space="preserve">Примања од отплате кредита датих удружењима грађана у земљи у корист националне службе за запошљавање                                                        </t>
  </si>
  <si>
    <t xml:space="preserve">Примања од отплате кредита датих нефинансијским приватним предузећима у земљи                                                             </t>
  </si>
  <si>
    <t xml:space="preserve">Примања од отплате кредита датих нефинансијским приватним предузећима у земљи у корист нивоа републике                                                         </t>
  </si>
  <si>
    <t xml:space="preserve">Примања од отплате кредита датих нефинансијским приватним предузећима у земљи у корист нивоа територијалних аутономија                                                        </t>
  </si>
  <si>
    <t xml:space="preserve">Примања од отплате кредита датих нефинансијским приватним предузећима у земљи у корист нивоа градова                                                         </t>
  </si>
  <si>
    <t xml:space="preserve">Примања од отплате кредита датих нефинансијским приватним предузећима у земљи у корист нивоа општина                                                         </t>
  </si>
  <si>
    <t xml:space="preserve">Примања од отплате кредита датих нефинансијским приватним предузећима у земљи у корист организација обавезног социјалног осигурања                                                       </t>
  </si>
  <si>
    <t xml:space="preserve">Примања од отплате кредита датих нефинансијским приватним предузећима у земљи у корист републичког фонда за здравствено осигурање                                                      </t>
  </si>
  <si>
    <t xml:space="preserve">Примања од отплате кредита датих нефинансијским приватним предузећима у земљи у корист републичког фонда за пио                                                       </t>
  </si>
  <si>
    <t xml:space="preserve">Примања од отплате кредита датих нефинансијским приватним предузећима у земљи у корист националне службе за запошљавање                                                       </t>
  </si>
  <si>
    <t xml:space="preserve">Примања од продаје домаћих акција и осталог капитала                                                               </t>
  </si>
  <si>
    <t xml:space="preserve">Примања од продаје домаћих акција и осталог капитала у корист нивоа републике                                                           </t>
  </si>
  <si>
    <t xml:space="preserve">Примања од приватизације од продаје акција                                                                 </t>
  </si>
  <si>
    <t xml:space="preserve">Примања од аукцијске приватизације                                                                   </t>
  </si>
  <si>
    <t xml:space="preserve">Примања од продаје капитала у поступку приватизације у корист буџетског фонда за реституцију                                                          </t>
  </si>
  <si>
    <t xml:space="preserve">Примања од продаје домаћих акција и осталог капитала у корист нивоа територијалних аутономија                                                          </t>
  </si>
  <si>
    <t xml:space="preserve">Примања од продаје домаћих акција и осталог капитала у корист нивоа ап војводина                                                          </t>
  </si>
  <si>
    <t xml:space="preserve">Примања од продаје домаћих акција и осталог капитала у корист нивоа ап косово и метохија                                                        </t>
  </si>
  <si>
    <t xml:space="preserve">Примања од продаје домаћих акција и осталог капитала у корист нивоа градова                                                           </t>
  </si>
  <si>
    <t>921941</t>
  </si>
  <si>
    <t xml:space="preserve">Примања од продаје домаћих акција и осталог капитала у корист нивоа општина                                                           </t>
  </si>
  <si>
    <t xml:space="preserve">Примања од продаје домаћих акција и осталог капитала у корист организација обавезног социјалног осигурања                                                         </t>
  </si>
  <si>
    <t xml:space="preserve">Примања од продаје домаћих акција и осталог капитала у корист републичког фонда за здравствено осигурање                                                        </t>
  </si>
  <si>
    <t xml:space="preserve">Примања од продаје домаћих акција и осталог капитала у корист републичког фонда за пио                                                         </t>
  </si>
  <si>
    <t xml:space="preserve">Примања од продаје домаћих акција и осталог капитала у корист националне службе за запошљавање                                                         </t>
  </si>
  <si>
    <t xml:space="preserve">Примања од продаје стране финансијске имовине                                                                 </t>
  </si>
  <si>
    <t xml:space="preserve">Примања од продаје страних хартија од вредности, изузев акција                                                              </t>
  </si>
  <si>
    <t xml:space="preserve">Примања од продаје страних хартија од вредности, изузев акција, у корист нивоа републике                                                          </t>
  </si>
  <si>
    <t xml:space="preserve">Примања од продаје страних хартија од вредности, изузев акција, у корист нивоа територијалних аутономија                                                         </t>
  </si>
  <si>
    <t xml:space="preserve">Примања од продаје страних хартија од вредности, изузев акција, у корист нивоа ап војводина                                                         </t>
  </si>
  <si>
    <t xml:space="preserve">Примања од продаје страних хартија од вредности, изузев акција, у корист нивоа ап косово и метохија                                                       </t>
  </si>
  <si>
    <t xml:space="preserve">Примања од продаје страних хартија од вредности, изузев акција, у корист нивоа градова                                                          </t>
  </si>
  <si>
    <t xml:space="preserve">Примања од продаје страних хартија од вредности, изузев акција, у корист нивоа општина                                                          </t>
  </si>
  <si>
    <t xml:space="preserve">Примања од продаје страних хартија од вредности, изузев акција, у корист организација обавезног социјалног осигурања                                                        </t>
  </si>
  <si>
    <t xml:space="preserve">Примања од продаје страних хартија од вредности, изузев акција, у корист републичког фонда за здравствено осигурање                                                       </t>
  </si>
  <si>
    <t xml:space="preserve">Примања од продаје страних хартија од вредности, изузев акција, у корист републичког фонда за пио                                                        </t>
  </si>
  <si>
    <t xml:space="preserve">Примања од продаје страних хартија од вредности, изузев акција, у корист националне службе за запошљавање                                                        </t>
  </si>
  <si>
    <t xml:space="preserve">Примања од отплате кредита датих страним владама                                                                </t>
  </si>
  <si>
    <t xml:space="preserve">Примања од отплате кредита датих страним владама у корист нивоа републике                                                            </t>
  </si>
  <si>
    <t xml:space="preserve">Примања од отплате кредита датих страним владама у корист нивоа територијалних аутономија                                                           </t>
  </si>
  <si>
    <t xml:space="preserve">Примања од отплате кредита датих страним владама у корист нивоа градова                                                            </t>
  </si>
  <si>
    <t xml:space="preserve">Примања од отплате кредита датих страним владама у корист нивоа општина                                                            </t>
  </si>
  <si>
    <t xml:space="preserve">Примања од отплате кредита датих страним владама у корист организација обавезног социјалног осигурања                                                          </t>
  </si>
  <si>
    <t xml:space="preserve">Примања од отплате кредита датих страним владама у корист републичког фонда за здравствено осигурање                                                         </t>
  </si>
  <si>
    <t xml:space="preserve">Примања од отплате кредита датих страним владама у корист републичког фонда за пио                                                          </t>
  </si>
  <si>
    <t xml:space="preserve">Примања од отплате кредита датих страним владама у корист националне службе за запошљавање                                                          </t>
  </si>
  <si>
    <t xml:space="preserve">Примања од отплате кредита датих међународним организацијама                                                                </t>
  </si>
  <si>
    <t xml:space="preserve">Примања од отплате кредита датих међународним организацијама у корист нивоа републике                                                            </t>
  </si>
  <si>
    <t xml:space="preserve">Примања од отплате кредита датих међународним организацијама у корист нивоа територијалних аутономија                                                           </t>
  </si>
  <si>
    <t xml:space="preserve">Примања од отплате кредита датих међународним организацијама у корист нивоа градова                                                            </t>
  </si>
  <si>
    <t xml:space="preserve">Примања од отплате кредита датих међународним организацијама у корист нивоа општина                                                            </t>
  </si>
  <si>
    <t xml:space="preserve">Примања од отплате кредита датих међународним организацијама у корист организација обавезног социјалног осигурања                                                          </t>
  </si>
  <si>
    <t xml:space="preserve">Примања од отплате кредита датих међународним организацијама у корист републичког фонда за здравствено осигурање                                                         </t>
  </si>
  <si>
    <t xml:space="preserve">Примања од отплате кредита датих међународним организацијама у корист републичког фонда за пио                                                          </t>
  </si>
  <si>
    <t xml:space="preserve">Примања од отплате кредита датих међународним организацијама у корист националне службе за запошљавање                                                          </t>
  </si>
  <si>
    <t xml:space="preserve">Примања од отплате кредита датих страним пословним банкама                                                               </t>
  </si>
  <si>
    <t xml:space="preserve">Примања од отплате кредита датих страним пословним банкама у корист нивоа републике                                                           </t>
  </si>
  <si>
    <t xml:space="preserve">Примања од отплате кредита датих страним пословним банкама у корист нивоа територијалних аутономија                                                          </t>
  </si>
  <si>
    <t xml:space="preserve">Примања од отплате кредита датих страним пословним банкама у корист нивоа градова                                                           </t>
  </si>
  <si>
    <t xml:space="preserve">Примања од отплате кредита датих страним пословним банкама у корист нивоа општина                                                           </t>
  </si>
  <si>
    <t xml:space="preserve">Примања од отплате кредита датих страним пословним банкама у корист организација обавезног социјалног осигурања                                                         </t>
  </si>
  <si>
    <t xml:space="preserve">Примања од отплате кредита датих страним пословним банкама у корист републичког фонда за здравствено осигурање                                                        </t>
  </si>
  <si>
    <t xml:space="preserve">Примања од отплате кредита датих страним пословним банкама у корист републичког фонда за пио                                                         </t>
  </si>
  <si>
    <t xml:space="preserve">Примања од отплате кредита датих страним пословним банкама у корист националне службе за запошљавање                                                         </t>
  </si>
  <si>
    <t xml:space="preserve">Примања од отплате кредита датих страним нефинансијским институцијама                                                               </t>
  </si>
  <si>
    <t xml:space="preserve">Примања од отплате кредита датих страним нефинансијским институцијама у корист нивоа републике                                                           </t>
  </si>
  <si>
    <t xml:space="preserve">Примања од отплате кредита датих страним нефинансијским институцијама у корист нивоа територијалних аутономија                                                          </t>
  </si>
  <si>
    <t xml:space="preserve">Примања од отплате кредита датих страним нефинансијским институцијама у корист нивоа градова                                                           </t>
  </si>
  <si>
    <t xml:space="preserve">Примања од отплате кредита датих страним нефинансијским институцијама у корист нивоа општина                                                           </t>
  </si>
  <si>
    <t xml:space="preserve">Примања од отплате кредита датих страним нефинансијским институцијама у корист организација обавезног социјалног осигурања                                                         </t>
  </si>
  <si>
    <t xml:space="preserve">Примања од отплате кредита датих страним нефинансијским институцијама у корист републичког фонда за здравствено осигурање                                                        </t>
  </si>
  <si>
    <t xml:space="preserve">Примања од отплате кредита датих страним нефинансијским институцијама у корист републичког фонда за пио                                                         </t>
  </si>
  <si>
    <t xml:space="preserve">Примања од отплате кредита датих страним нефинансијским институцијама у корист националне службе за запошљавање                                                         </t>
  </si>
  <si>
    <t xml:space="preserve">Примања од отплате кредита датих страним невладиним организацијама                                                               </t>
  </si>
  <si>
    <t xml:space="preserve">Примања од отплате кредита датих страним невладиним организацијама у корист нивоа републике                                                           </t>
  </si>
  <si>
    <t xml:space="preserve">Примања од отплате кредита датих страним невладиним организацијама у корист нивоа територијалних аутономија                                                          </t>
  </si>
  <si>
    <t xml:space="preserve">Примања од отплате кредита датих страним невладиним организацијама у корист нивоа градова                                                           </t>
  </si>
  <si>
    <t xml:space="preserve">Примања од отплате кредита датих страним невладиним организацијама у корист нивоа општина                                                           </t>
  </si>
  <si>
    <t xml:space="preserve">Примања од отплате кредита датих страним невладиним организацијама у корист организација обавезног социјалног осигурања                                                         </t>
  </si>
  <si>
    <t xml:space="preserve">Примања од отплате кредита датих страним невладиним организацијама у корист републичког фонда за здравствено осигурање                                                        </t>
  </si>
  <si>
    <t xml:space="preserve">Примања од отплате кредита датих страним невладиним организацијама у корист републичког фонда за пио                                                         </t>
  </si>
  <si>
    <t xml:space="preserve">Примања од отплате кредита датих страним невладиним организацијама у корист националне службе за запошљавање                                                         </t>
  </si>
  <si>
    <t xml:space="preserve">Примања од продаје страних акција и осталог капитала                                                               </t>
  </si>
  <si>
    <t xml:space="preserve">Примања од продаје страних акција и осталог капитала у корист нивоа републике                                                           </t>
  </si>
  <si>
    <t xml:space="preserve">Примања од продаје страних акција и осталог капитала у корист нивоа територијалних аутономија                                                          </t>
  </si>
  <si>
    <t xml:space="preserve">Примања од продаје страних акција и осталог капитала у корист нивоа ап војводина                                                          </t>
  </si>
  <si>
    <t xml:space="preserve">Примања од продаје страних акција и осталог капитала у корист нивоа ап косово и метохија                                                        </t>
  </si>
  <si>
    <t xml:space="preserve">Примања од продаје страних акција и осталог капитала у корист нивоа градова                                                           </t>
  </si>
  <si>
    <t xml:space="preserve">Примања од продаје страних акција и осталог капитала у корист нивоа општина                                                           </t>
  </si>
  <si>
    <t xml:space="preserve">Примања од продаје страних акција и осталог капитала у корист организација обавезног социјалног осигурања                                                         </t>
  </si>
  <si>
    <t xml:space="preserve">Примања од продаје страних акција и осталог капитала у корист републичког фонда за здравствено осигурање                                                        </t>
  </si>
  <si>
    <t xml:space="preserve">Примања од продаје страних акција и осталог капитала у корист републичког фонда за пио                                                         </t>
  </si>
  <si>
    <t xml:space="preserve">Примања од продаје страних акција и осталог капитала у корист националне службе за запошљавање                                                         </t>
  </si>
  <si>
    <t xml:space="preserve">Контра књижење – примања од задуживања и продаје финансијске имовине                                                             </t>
  </si>
  <si>
    <t>КОНТО</t>
  </si>
  <si>
    <t>ПРОГРАМСКА КЛАСИФИКАЦИЈА</t>
  </si>
  <si>
    <t>Програм_1__Локални_развој_и_просторно_планирање</t>
  </si>
  <si>
    <t>1101</t>
  </si>
  <si>
    <t>Планско одређивање праваца развоја локалне средине и ефикасно администрирање захтева за издавање грађевинских дозвола</t>
  </si>
  <si>
    <t>Програм_2__Комунална_делатност</t>
  </si>
  <si>
    <t>0601</t>
  </si>
  <si>
    <t>Обезбеђивање рационалног обављања комуналних делатности са што већом обухватношћу територије и становништва ЈЛС и побољшање квалитета живота становништва успостављањем ефикасног система комуналних услуга</t>
  </si>
  <si>
    <t>Програм_3__Локални_економски_развој</t>
  </si>
  <si>
    <t>1501</t>
  </si>
  <si>
    <t>Обезбеђивање стимулативног оквира за пословање и адекватног привредног амбијента за привлачење инвестиција</t>
  </si>
  <si>
    <t>Програм_4__Развој_туризма</t>
  </si>
  <si>
    <t>1502</t>
  </si>
  <si>
    <t>Унапређење туристичке понуде у ЈЛС</t>
  </si>
  <si>
    <t>Програм_5__Развој_пољопривреде</t>
  </si>
  <si>
    <t>0101</t>
  </si>
  <si>
    <t>Унапређење пољопривредне производње у ЈЛС</t>
  </si>
  <si>
    <t>Програм_6__Заштита_животне_средине</t>
  </si>
  <si>
    <t>0401</t>
  </si>
  <si>
    <t>Обезбеђивање услова за одрживи развој локалне заједнице одговорним односом према животној средини</t>
  </si>
  <si>
    <t>Програм_7__Путна_инфраструктура</t>
  </si>
  <si>
    <t>0701</t>
  </si>
  <si>
    <t>Унапређење путне инфраструктуре у ЈЛС</t>
  </si>
  <si>
    <t>Програм_8__Предшколско_васпитање</t>
  </si>
  <si>
    <t>2001</t>
  </si>
  <si>
    <t xml:space="preserve">Омогућавање обухвата предшколске деце у вртићима </t>
  </si>
  <si>
    <t>Програм_9__Основно_образовање</t>
  </si>
  <si>
    <t>2002</t>
  </si>
  <si>
    <t>Доступност основног образовања свој деци са територије ЈЛС у складу са прописаним стандардима</t>
  </si>
  <si>
    <t>Програм_10_Средње_образовање</t>
  </si>
  <si>
    <t>2003</t>
  </si>
  <si>
    <t>Доступност средњег образовања у складу са прописаним стандардима и потребама за образовним профилима који одговарају циљевима развоја ЈЛС и привреде</t>
  </si>
  <si>
    <t>Програм_11__Социјална__и_дечја_заштита</t>
  </si>
  <si>
    <t>0901</t>
  </si>
  <si>
    <t>Обезбеђивање свеобухватне социјалне заштите и помоћи најугроженијем становништву ЈЛС</t>
  </si>
  <si>
    <t>Програм_12__Примарна_здравствена_заштита</t>
  </si>
  <si>
    <t>1801</t>
  </si>
  <si>
    <t>Доступност примарне здравствене заштите у складу са националним стандардима</t>
  </si>
  <si>
    <t>Програм_13__Развој_културе</t>
  </si>
  <si>
    <t>1201</t>
  </si>
  <si>
    <t>Очување, унапређење и представљање локалног културног наслеђа, добара и баштине</t>
  </si>
  <si>
    <t>Програм_14__Развој_спорта_и_омладине</t>
  </si>
  <si>
    <t>1301</t>
  </si>
  <si>
    <t xml:space="preserve">Обезбеђивање приступа спорту и подршка пројектима везаним развој омладине и спорта </t>
  </si>
  <si>
    <t>Програм_15__Локална_самоуправа</t>
  </si>
  <si>
    <t>0602</t>
  </si>
  <si>
    <t>Обезбеђивање услова за остварење права грађана на лакши и бржи начин у ЈЛС</t>
  </si>
  <si>
    <t>Програм:</t>
  </si>
  <si>
    <t>Шифра</t>
  </si>
  <si>
    <t>Сврха</t>
  </si>
  <si>
    <t>1101-0001   Стратешко, просторно и урбанистичко планирање</t>
  </si>
  <si>
    <t>1101-0002   Уређивање грађевинског земљишта</t>
  </si>
  <si>
    <t>0601-0001   Водоснабдевање</t>
  </si>
  <si>
    <t>0601-0002   Управљање отпадним водама  </t>
  </si>
  <si>
    <t>0601-0003   Одржавање депонија</t>
  </si>
  <si>
    <t>0601-0004   Даљинско грејање</t>
  </si>
  <si>
    <t>0601-0005   Јавни превоз</t>
  </si>
  <si>
    <t>0601-0006   Паркинг сервис</t>
  </si>
  <si>
    <t>0601-0007   Уређивање, одржавање и коришћење пијаца</t>
  </si>
  <si>
    <t>0601-0008   Јавна хигијена</t>
  </si>
  <si>
    <t>0601-0009   Уређење и одржавање зеленила</t>
  </si>
  <si>
    <t>0601-0010   Јавна расвета</t>
  </si>
  <si>
    <t>0601-0011   Одржавање гробаља и погребне услуге</t>
  </si>
  <si>
    <t>0601-0012   Одржавање стамбених зграда</t>
  </si>
  <si>
    <t>0601-0013   Ауто-такси превоз путника</t>
  </si>
  <si>
    <t>0601-0014   Остале комуналне услуге</t>
  </si>
  <si>
    <t>1501-0001   Подршка постојећој привреди</t>
  </si>
  <si>
    <t>1501-0002   Унапређење привредног амбијента</t>
  </si>
  <si>
    <t>1501-0003   Подстицаји за развој предузетништва</t>
  </si>
  <si>
    <t>1501-0004   Одржавање економске инфраструктуре</t>
  </si>
  <si>
    <t>1501-0005   Финансијска подршка локалном економском развоју</t>
  </si>
  <si>
    <t>1502-0001   Управљање развојем туризма</t>
  </si>
  <si>
    <t>1502-0002   Туристичка промоција</t>
  </si>
  <si>
    <t>0101-0001   Унапређење  услова за пољопривредну делатност</t>
  </si>
  <si>
    <t>0101-0002   Подстицаји пољопривредној производњи</t>
  </si>
  <si>
    <t>0401-0001   Управљање заштитом животне средине и природних вредности</t>
  </si>
  <si>
    <t>0401-0002   Управљање комуналним отпадом</t>
  </si>
  <si>
    <t>0401-0003   Праћење квалитета елемената животне средине</t>
  </si>
  <si>
    <t>0401-0004   Заштита природних вредности и унапређење подручја са природним својствима</t>
  </si>
  <si>
    <t>0701-0001   Управљање саобраћајном инфраструктуром</t>
  </si>
  <si>
    <t>0701-0002   Одржавање путева</t>
  </si>
  <si>
    <t xml:space="preserve">2001-0001   Функционисање предшколских установа </t>
  </si>
  <si>
    <t>2002-0001   Функционисање основних школа</t>
  </si>
  <si>
    <t>2003-0001   Функционисање средњих школа</t>
  </si>
  <si>
    <t>0901-0001   Социјалне помоћи</t>
  </si>
  <si>
    <t xml:space="preserve">0901-0002   Прихватилишта, прихватне станице и друге врсте смештаја </t>
  </si>
  <si>
    <t>0901-0003   Подршка социо-хуманитарним организацијама</t>
  </si>
  <si>
    <t>0901-0004   Саветодавно-терапијске и социјално-едукативне услуге</t>
  </si>
  <si>
    <t>0901-0005   Активности Црвеног крста</t>
  </si>
  <si>
    <t>0901-0006   Дечја заштита</t>
  </si>
  <si>
    <t>1801-0001   Функционисање установа примарне здравствене заштите</t>
  </si>
  <si>
    <t xml:space="preserve">1201-0001   Функционисање локалних установа културе </t>
  </si>
  <si>
    <t>1201-0002   Подстицаји културном и уметничком стваралаштву</t>
  </si>
  <si>
    <t>1301-0001   Подршка локалним спортским организацијама, удружењима и савезима</t>
  </si>
  <si>
    <t>1301-0002   Подршка предшколском, школском и рекреативном спорту и масовној физичкој култури</t>
  </si>
  <si>
    <t>1301-0003   Одржавање спортске инфраструктуре</t>
  </si>
  <si>
    <t>0602-0001   Функционисање локалне самоуправе и градских општина</t>
  </si>
  <si>
    <t>0602-0002   Месне заједнице</t>
  </si>
  <si>
    <t>0602-0003   Управљање јавним дугом</t>
  </si>
  <si>
    <t>0602-0004   Општинско јавно правобранилаштво</t>
  </si>
  <si>
    <t>0602-0005   Заштитник грађана</t>
  </si>
  <si>
    <t>0602-0006   Информисање</t>
  </si>
  <si>
    <t>0602-0007   Канцеларија за младе</t>
  </si>
  <si>
    <t>0602-0008   Програми националних мањина</t>
  </si>
  <si>
    <t>0602-0009   Правна помоћ</t>
  </si>
  <si>
    <t>0602-0010   Резерве</t>
  </si>
  <si>
    <t>Програм 1.  Локални развој и просторно планирање</t>
  </si>
  <si>
    <t>Програм 2.  Комунална делатност</t>
  </si>
  <si>
    <t>Програм 3.  Локални економски развој</t>
  </si>
  <si>
    <t>Програм 4.  Развој туризма</t>
  </si>
  <si>
    <t>Програм 5.  Развој пољопривреде</t>
  </si>
  <si>
    <t>Програм 6.  Заштита животне средине</t>
  </si>
  <si>
    <t>Програм 7.  Путна инфраструктура</t>
  </si>
  <si>
    <t>Програм 8.  Предшколско васпитање</t>
  </si>
  <si>
    <t>Програм 9.  Основно образовање</t>
  </si>
  <si>
    <t>Програм 10. Средње образовање</t>
  </si>
  <si>
    <t>Програм 11.  Социјална  и дечја заштита</t>
  </si>
  <si>
    <t>Програм 12.  Примарна здравствена заштита</t>
  </si>
  <si>
    <t>Програм 13.  Развој културе</t>
  </si>
  <si>
    <t>Програм 14.  Развој спорта и омладине</t>
  </si>
  <si>
    <t>Програм 15.  Локална самоуправа</t>
  </si>
  <si>
    <t>Класа/Категорија/Група</t>
  </si>
  <si>
    <t>Конто</t>
  </si>
  <si>
    <t>ВРСТЕ ПРИХОДА И ПРИМАЊА</t>
  </si>
  <si>
    <t>Структ-ура %</t>
  </si>
  <si>
    <t>Пренета средства из претходне године</t>
  </si>
  <si>
    <t xml:space="preserve">ТЕКУЋИ ПРИХОДИ </t>
  </si>
  <si>
    <t>ПОРЕЗИ</t>
  </si>
  <si>
    <t>ПОРЕЗ НА ДОХОДАК, ДОБИТ И КАПИТАЛНЕ ДОБИТКЕ</t>
  </si>
  <si>
    <t>Порез на зараде</t>
  </si>
  <si>
    <t>Порез на приходе од самосталних делатности који се плаћа према стварно оствареном приходу, по решењу Пореске управе</t>
  </si>
  <si>
    <t>Порез на приходе од самосталних делатности који се плаћа према паушално утврђеном приходу, по решењу Пореске управе</t>
  </si>
  <si>
    <t>Порез на приходе од непокретности</t>
  </si>
  <si>
    <t>Порез на приход од пољопривреде и шумарства, по решењу Пореске управе</t>
  </si>
  <si>
    <t>Порез на земљиште</t>
  </si>
  <si>
    <t>Порез на приходе од непокретности, по решењу Пореске управе</t>
  </si>
  <si>
    <t>Порез на приходе од осигурања лица</t>
  </si>
  <si>
    <t>Самодоприноси</t>
  </si>
  <si>
    <t>ПОРЕЗ НА ИМОВИНУ</t>
  </si>
  <si>
    <t>Порез на имовину (осим на земљиште, акције и уделе) од физичких лица</t>
  </si>
  <si>
    <t>Порез на имовину (осим на земљиште, акције и уделе) од правних лица</t>
  </si>
  <si>
    <t>Порез на наслеђе и поклон по решењу Пореске управе</t>
  </si>
  <si>
    <t>Порез на пренос апсолутних права на непокретности, по решењу Пореске управе</t>
  </si>
  <si>
    <t>Порез на пренос апсолутних права на акцијама и другим хартијама од вредности, по решењу Пореске
управе</t>
  </si>
  <si>
    <t>Порез на акције на име и уделе</t>
  </si>
  <si>
    <t>ПОРЕЗ НА ДОБРА И УСЛУГЕ</t>
  </si>
  <si>
    <t>Средства за противпожарну заштиту</t>
  </si>
  <si>
    <t xml:space="preserve">Комунална такса за коришћење рекламних паноа, укључујући и истицање и исписивање фирме ван пословног простора на објектима и просторима који припадају јединици локалне самоуправе(коловози, тротоари, зелене површине, бандере и сл.)  </t>
  </si>
  <si>
    <t>Комунална такса за држање моторних друмских и прикључних возила, осим пољопривредних возила и машина</t>
  </si>
  <si>
    <t>Накнада за промену намене обрадивог пољопривредног земљишта</t>
  </si>
  <si>
    <t>Накнада од емисије SO2, NO2, прашкастих материја и одложеног отпада</t>
  </si>
  <si>
    <t>Боравишна такса</t>
  </si>
  <si>
    <t>Посебна накнада за заштиту и унапређење животне средине</t>
  </si>
  <si>
    <t>Комунална такса за држање средстава за игру („забавне игре“)</t>
  </si>
  <si>
    <t>ДРУГИ ПОРЕЗИ</t>
  </si>
  <si>
    <t>Комунална такса за истицање фирме на пословном простору</t>
  </si>
  <si>
    <t>ДОНАЦИЈЕ И ТРАНСФЕРИ</t>
  </si>
  <si>
    <t>ДОНАЦИЈЕ ОД МЕЂ. ОРГАНИЗАЦИЈА</t>
  </si>
  <si>
    <t>ТРАНСФЕРИ ОД ДРУГИХ НИВОА ВЛАСТИ</t>
  </si>
  <si>
    <t>ДРУГИ ПРИХОДИ</t>
  </si>
  <si>
    <t>ПРИХОДИ ОД ИМОВИНЕ</t>
  </si>
  <si>
    <t>Комунална такса за коришћење простора на јавним површинама или испред пословног простора у пословне сврхе, осим ради продаје штампе, књига и других публикација, производа старих и уметничких заната и домаће радиности</t>
  </si>
  <si>
    <t>Комунална такса за коришћење простора за паркирање друмских моторних и прикључних возила на
уређеним и обележеним местима</t>
  </si>
  <si>
    <t>Комунална такса за коришћење слободних површина за кампове, постављање шатора или друге облике привременог коришћења</t>
  </si>
  <si>
    <t>Комунална такса за заузеће јавне површине грађевинским материјалом</t>
  </si>
  <si>
    <t>Накнада за воде</t>
  </si>
  <si>
    <t>ПРИХОДИ ОД ПРОДАЈЕ ДОБАРА И УСЛУГА</t>
  </si>
  <si>
    <t>Трошкови пореског и прекршајног поступка изворних јавних прихода општина и градова</t>
  </si>
  <si>
    <t>НОВЧАНЕ КАЗНЕ И ОДУЗЕТА ИМОВИНСКА КОРИСТ</t>
  </si>
  <si>
    <t>Приходи од новчаних казни за прекршаје, предвиђене прописима о безбедности саобраћаја на путевима</t>
  </si>
  <si>
    <t>ДОБРОВОЉНИ ТРАНСФЕРИ ОД ФИЗИЧКИХ И ПРАВНИХ ЛИЦА</t>
  </si>
  <si>
    <t>Текући добровољни трансфери од физичких и правних лица у корист нивоа градова</t>
  </si>
  <si>
    <t>МЕШОВИТИ И НЕОДРЕЂЕНИ ПРИХОДИ</t>
  </si>
  <si>
    <t>МЕМОРАНДУМСКЕ СТАВКЕ ЗА РЕФУНДАЦИЈУ РАСХОДА</t>
  </si>
  <si>
    <t>ПРИХОДИ ИЗ БУЏЕТА</t>
  </si>
  <si>
    <t>ПРИМАЊА ОД ПРОДАЈЕ НЕФИНАНСИЈСКЕ ИМОВИНЕ</t>
  </si>
  <si>
    <t>ПРИМАЊА ОД ПРОДАЈЕ ОСНОВНИХ СРЕДСТАВА</t>
  </si>
  <si>
    <t>Примања од продаје непокретности</t>
  </si>
  <si>
    <t>Примања од продаје покретне имовине</t>
  </si>
  <si>
    <t>ПРИМАЊА ОД ЗАДУЖИВАЊА И ПРОДАЈЕ ФИНАНСИЈСКЕ ИМОВИНЕ</t>
  </si>
  <si>
    <t xml:space="preserve">ПРИМАЊА ОД ЗАДУЖИВАЊА </t>
  </si>
  <si>
    <t>Примања од задуживања од пословних банака у земљи у корист нивоа градова</t>
  </si>
  <si>
    <t>912</t>
  </si>
  <si>
    <t>Примања од иностраног задуживања</t>
  </si>
  <si>
    <t>ПРИМАЊА ОД ПРОДАЈЕ ФИН. ИМОВИНЕ</t>
  </si>
  <si>
    <t xml:space="preserve">Примања од продаје домаћих акција и осталог капитала у корист нивоа градова </t>
  </si>
  <si>
    <t>7+8+9</t>
  </si>
  <si>
    <t>ТЕКУЋИ ПРИХОДИ И ПРИМАЊА ОД ЗАДУЖИВАЊА И ПРОДАЈЕ ФИН. ИМОВИНЕ</t>
  </si>
  <si>
    <t>3+7+8+9</t>
  </si>
  <si>
    <t>Порез на приходе од самосталних делатности који се плаћа према стварно оствареном приходу самоопорезивањем</t>
  </si>
  <si>
    <t xml:space="preserve">Порез на приходе од давања у закуп покретних ствари - по основу самоопорезивања и по решењу Пореске управе </t>
  </si>
  <si>
    <t xml:space="preserve">Порез на имовину (осим на неизграђено земљиште), обвезника који воде пословне књиге                                  </t>
  </si>
  <si>
    <t xml:space="preserve">Порез на пренос апсолутних права на моторним возилима, пловилима и ваздухопловима, по решењу Пореске управе        </t>
  </si>
  <si>
    <t xml:space="preserve">Порез на пренос апсолутних права у осталим случајевима, по решењу Пореске управе      </t>
  </si>
  <si>
    <t>Закупнина за стан у државној својини у корист нивоа града</t>
  </si>
  <si>
    <t>Део добити јавног предузећа према одлуци управног одбора јавног предузећа у корист нивоа градова</t>
  </si>
  <si>
    <t>Средства из осталих извора</t>
  </si>
  <si>
    <t xml:space="preserve">       ОПШТИ ДЕО  -    ИЗДАЦИ ПО ОСНОВНИМ НАМЕНАМА</t>
  </si>
  <si>
    <t>Екон. клас.</t>
  </si>
  <si>
    <t>ВРСТЕ РАСХОДА И ИЗДАТАКА</t>
  </si>
  <si>
    <t>Структура         %</t>
  </si>
  <si>
    <t>Укупна средства</t>
  </si>
  <si>
    <t>1</t>
  </si>
  <si>
    <t>410</t>
  </si>
  <si>
    <t>РАСХОДИ ЗА ЗАПОСЛЕНЕ</t>
  </si>
  <si>
    <t>Плате и додаци запослених</t>
  </si>
  <si>
    <t>Социјални доприноси на терет послодавца</t>
  </si>
  <si>
    <t>Накнаде у натури (превоз)</t>
  </si>
  <si>
    <t>414</t>
  </si>
  <si>
    <t>Социјална давања запосленима</t>
  </si>
  <si>
    <t>415</t>
  </si>
  <si>
    <t>Накнаде за запослене</t>
  </si>
  <si>
    <t>416</t>
  </si>
  <si>
    <t>Награде,бонуси и остали посебни расходи</t>
  </si>
  <si>
    <t>Посланички додатак;</t>
  </si>
  <si>
    <t>Судијски додатак.</t>
  </si>
  <si>
    <t>420</t>
  </si>
  <si>
    <t>КОРИШЋЕЊЕ УСЛУГА И РОБА</t>
  </si>
  <si>
    <t>421</t>
  </si>
  <si>
    <t>Стални трошкови</t>
  </si>
  <si>
    <t>Трошкови путовања</t>
  </si>
  <si>
    <t>Услуге по уговору</t>
  </si>
  <si>
    <t>424</t>
  </si>
  <si>
    <t>Специјализоване услуге</t>
  </si>
  <si>
    <t>425</t>
  </si>
  <si>
    <t>Текуће поправке и одржавање (услуге и мат)</t>
  </si>
  <si>
    <t>426</t>
  </si>
  <si>
    <t>Материјал</t>
  </si>
  <si>
    <t>430</t>
  </si>
  <si>
    <t>УПОТРЕБА ОСНОВНИХ СРЕДСТАВА</t>
  </si>
  <si>
    <t>Амортизација некретнина и опреме;</t>
  </si>
  <si>
    <t>Амортизација култивисане имовине;</t>
  </si>
  <si>
    <t>Употреба драгоцености;</t>
  </si>
  <si>
    <t>Употреба природне имовине;</t>
  </si>
  <si>
    <t>Амортизација нематеријалне имовине</t>
  </si>
  <si>
    <t>440</t>
  </si>
  <si>
    <t>ОТПЛАТА КАМАТА</t>
  </si>
  <si>
    <t>Отплата домаћих камата;</t>
  </si>
  <si>
    <t>Отплата страних камата;</t>
  </si>
  <si>
    <t>Отплата камата по гаранцијама</t>
  </si>
  <si>
    <t>Пратећи трошкови задуживања</t>
  </si>
  <si>
    <t>450</t>
  </si>
  <si>
    <t>СУБВЕНЦИЈЕ</t>
  </si>
  <si>
    <t>Субвенције приватним финансијским институцијама;</t>
  </si>
  <si>
    <t>Субвенције јавним финансијским институцијама;</t>
  </si>
  <si>
    <t>Субвенције приватним предузећима</t>
  </si>
  <si>
    <t>460</t>
  </si>
  <si>
    <t xml:space="preserve">Донације страним владама </t>
  </si>
  <si>
    <t>Донације и дотације међународним организацијама</t>
  </si>
  <si>
    <t>Текући трансфери осталим нивоима власти</t>
  </si>
  <si>
    <t>Капитални трансфери осталим нивоима власти</t>
  </si>
  <si>
    <t>Дотације организацијама обавезног социјалног осигурања</t>
  </si>
  <si>
    <t xml:space="preserve">Остале донације, дотације и трансфери </t>
  </si>
  <si>
    <t>470</t>
  </si>
  <si>
    <t>СОЦИЈАЛНА ПОМОЋ</t>
  </si>
  <si>
    <t>Накнаде за социјалну заштиту из буџета</t>
  </si>
  <si>
    <t>480</t>
  </si>
  <si>
    <t>ОСТАЛИ РАСХОДИ</t>
  </si>
  <si>
    <t>Дотације невладиним организацијама;</t>
  </si>
  <si>
    <t>Порези, обавезне таксе, казне и пенали;</t>
  </si>
  <si>
    <t>Новчане казне и пенали по решењу судова;</t>
  </si>
  <si>
    <t>Накнада штете за повреде или штету насталу услед елементарних непогода или других природних узрока;</t>
  </si>
  <si>
    <t>Накнада штете за повреде или штету нанету од стране државних органа;</t>
  </si>
  <si>
    <t>Расходи који се финансирају из средстава за реализацију националног инвестиционог плана</t>
  </si>
  <si>
    <t>АДМИНИСТРАТИВНИ ТРАНСФЕРИ БУЏЕТА</t>
  </si>
  <si>
    <t>Стална резерва</t>
  </si>
  <si>
    <t>49912</t>
  </si>
  <si>
    <t>Текућа резерва</t>
  </si>
  <si>
    <t>510</t>
  </si>
  <si>
    <t>ОСНОВНА СРЕДСТВА</t>
  </si>
  <si>
    <t>Зграде и грађевински објекти;</t>
  </si>
  <si>
    <t>Машине и опрема;</t>
  </si>
  <si>
    <t xml:space="preserve"> Остале некретнине и опрема;</t>
  </si>
  <si>
    <t>Култивисана имовина;</t>
  </si>
  <si>
    <t>Нематеријална имовина</t>
  </si>
  <si>
    <t>520</t>
  </si>
  <si>
    <t>ЗАЛИХЕ</t>
  </si>
  <si>
    <t>Робне резерве;</t>
  </si>
  <si>
    <t>Залихе производње;</t>
  </si>
  <si>
    <t>Залихе робе за даљу продају</t>
  </si>
  <si>
    <t>540</t>
  </si>
  <si>
    <t>ПРИРОДНА ИМОВИНА</t>
  </si>
  <si>
    <t>Земљиште;</t>
  </si>
  <si>
    <t>Рудна богатства;</t>
  </si>
  <si>
    <t>Шуме и воде</t>
  </si>
  <si>
    <t>Неф. Имов. која се фин. из сред. за реализ. нип-а</t>
  </si>
  <si>
    <t>Неф. имовина која се фин. из сред. за реализ. нип-а</t>
  </si>
  <si>
    <t>610</t>
  </si>
  <si>
    <t xml:space="preserve">ОТПЛАТА ГЛАВНИЦЕ </t>
  </si>
  <si>
    <t>611</t>
  </si>
  <si>
    <t>Отплата главнице домаћим кредиторима</t>
  </si>
  <si>
    <t>612</t>
  </si>
  <si>
    <t>Отплата главнице страним банкама</t>
  </si>
  <si>
    <t>613</t>
  </si>
  <si>
    <t>620</t>
  </si>
  <si>
    <t>621</t>
  </si>
  <si>
    <t xml:space="preserve">УКУПНИ ЈАВНИ РАСХОДИ </t>
  </si>
  <si>
    <t>4512</t>
  </si>
  <si>
    <t>452</t>
  </si>
  <si>
    <t>Екон.</t>
  </si>
  <si>
    <t>Редни број</t>
  </si>
  <si>
    <t>Клас.</t>
  </si>
  <si>
    <t>Извори финансирања:</t>
  </si>
  <si>
    <t>- из текућих прихода</t>
  </si>
  <si>
    <t>- из буџета Републике Србије</t>
  </si>
  <si>
    <t xml:space="preserve">       ОПШТИ ДЕО  -   ФУНКЦИОНАЛНА КЛАСИФИКАЦИЈА РАСХОДА</t>
  </si>
  <si>
    <t>Функциje</t>
  </si>
  <si>
    <t xml:space="preserve">Функционална класификација </t>
  </si>
  <si>
    <t>000</t>
  </si>
  <si>
    <t>010</t>
  </si>
  <si>
    <t>Болест и инвалидност;</t>
  </si>
  <si>
    <t>020</t>
  </si>
  <si>
    <t>Старост;</t>
  </si>
  <si>
    <t>030</t>
  </si>
  <si>
    <t>Корисници породичне пензије;</t>
  </si>
  <si>
    <t>040</t>
  </si>
  <si>
    <t>Породица и деца;</t>
  </si>
  <si>
    <t>050</t>
  </si>
  <si>
    <t>Незапосленост;</t>
  </si>
  <si>
    <t>060</t>
  </si>
  <si>
    <t>Становање;</t>
  </si>
  <si>
    <t>070</t>
  </si>
  <si>
    <t>Социјална помоћ угроженом становништву некласификована на другом месту;</t>
  </si>
  <si>
    <t>080</t>
  </si>
  <si>
    <t>Социјална заштита - истраживање и развој;</t>
  </si>
  <si>
    <t>090</t>
  </si>
  <si>
    <t>100</t>
  </si>
  <si>
    <t>110</t>
  </si>
  <si>
    <t>Извршни и законодавни органи, финансијски и фискални послови и спољни послови;</t>
  </si>
  <si>
    <t>111</t>
  </si>
  <si>
    <t>112</t>
  </si>
  <si>
    <t>113</t>
  </si>
  <si>
    <t>120</t>
  </si>
  <si>
    <t>Економска помоћ иностранству;</t>
  </si>
  <si>
    <t>121</t>
  </si>
  <si>
    <t>122</t>
  </si>
  <si>
    <t>130</t>
  </si>
  <si>
    <t>Опште услуге;</t>
  </si>
  <si>
    <t>131</t>
  </si>
  <si>
    <t>132</t>
  </si>
  <si>
    <t>133</t>
  </si>
  <si>
    <t>140</t>
  </si>
  <si>
    <t>Основно истраживање;</t>
  </si>
  <si>
    <t>150</t>
  </si>
  <si>
    <t>Опште јавне услуге - истраживање и развој;</t>
  </si>
  <si>
    <t>160</t>
  </si>
  <si>
    <t>Опште јавне услуге некласификоване на другом месту;</t>
  </si>
  <si>
    <t>170</t>
  </si>
  <si>
    <t>Трансакције јавног дуга;</t>
  </si>
  <si>
    <t>180</t>
  </si>
  <si>
    <t>300</t>
  </si>
  <si>
    <t>310</t>
  </si>
  <si>
    <t>Услуге полиције;</t>
  </si>
  <si>
    <t>320</t>
  </si>
  <si>
    <t>Услуге противпожарне заштите;</t>
  </si>
  <si>
    <t>400</t>
  </si>
  <si>
    <t>Општи економски и комерцијални послови и послови по питању рада;</t>
  </si>
  <si>
    <t>411</t>
  </si>
  <si>
    <t>412</t>
  </si>
  <si>
    <t>Пољопривреда, шумарство, лов и риболов;</t>
  </si>
  <si>
    <t>422</t>
  </si>
  <si>
    <t>423</t>
  </si>
  <si>
    <t>Саобраћај;</t>
  </si>
  <si>
    <t>451</t>
  </si>
  <si>
    <t>453</t>
  </si>
  <si>
    <t>454</t>
  </si>
  <si>
    <t>455</t>
  </si>
  <si>
    <t>490</t>
  </si>
  <si>
    <t>500</t>
  </si>
  <si>
    <t>Управљање отпадом;</t>
  </si>
  <si>
    <t>Управљање отпадним водама;</t>
  </si>
  <si>
    <t>530</t>
  </si>
  <si>
    <t>Смањење загађености;</t>
  </si>
  <si>
    <t>Заштита биљног и животињског света и крајолика;</t>
  </si>
  <si>
    <t>550</t>
  </si>
  <si>
    <t>Заштита животне средине - истраживање и развој;</t>
  </si>
  <si>
    <t>560</t>
  </si>
  <si>
    <t>600</t>
  </si>
  <si>
    <t>ПОСЛОВИ СТАНОВАЊА И ЗАЈЕДНИЦЕ</t>
  </si>
  <si>
    <t>Стамбени развој;</t>
  </si>
  <si>
    <t>Развој заједнице;</t>
  </si>
  <si>
    <t>630</t>
  </si>
  <si>
    <t>Водоснабдевање;</t>
  </si>
  <si>
    <t>640</t>
  </si>
  <si>
    <t>Улична расвета;</t>
  </si>
  <si>
    <t>650</t>
  </si>
  <si>
    <t>Послови становања и заједнице - истраживање и развој;</t>
  </si>
  <si>
    <t>660</t>
  </si>
  <si>
    <t>740</t>
  </si>
  <si>
    <t>Услуге јавног здравства;</t>
  </si>
  <si>
    <t>750</t>
  </si>
  <si>
    <t>Здравство - истраживање и развој;</t>
  </si>
  <si>
    <t>760</t>
  </si>
  <si>
    <t>Здравство некласификовано на другом месту.</t>
  </si>
  <si>
    <t>800</t>
  </si>
  <si>
    <t>810</t>
  </si>
  <si>
    <t>Услуге рекреације и спорта;</t>
  </si>
  <si>
    <t>820</t>
  </si>
  <si>
    <t>Услуге културе;</t>
  </si>
  <si>
    <t>830</t>
  </si>
  <si>
    <t>Услуге емитовања и штампања;</t>
  </si>
  <si>
    <t>840</t>
  </si>
  <si>
    <t>Верске и остале услуге заједнице;</t>
  </si>
  <si>
    <t>900</t>
  </si>
  <si>
    <t>910</t>
  </si>
  <si>
    <t>Предшколско и основно образовање;</t>
  </si>
  <si>
    <t>911</t>
  </si>
  <si>
    <t>920</t>
  </si>
  <si>
    <t>Средње образовање;</t>
  </si>
  <si>
    <t>921</t>
  </si>
  <si>
    <t>922</t>
  </si>
  <si>
    <t>923</t>
  </si>
  <si>
    <t>УКУПНО</t>
  </si>
  <si>
    <t xml:space="preserve">       ОПШТИ ДЕО - ПРОГРАМСКА КЛАСИФИКАЦИЈА РАСХОДА</t>
  </si>
  <si>
    <t>Програм</t>
  </si>
  <si>
    <t>2</t>
  </si>
  <si>
    <t>1501-0002</t>
  </si>
  <si>
    <t>Управљање развојем туризма</t>
  </si>
  <si>
    <t>0401-0001</t>
  </si>
  <si>
    <t>0401-0002</t>
  </si>
  <si>
    <t>Управљање комуналним отпадом</t>
  </si>
  <si>
    <t>0401-0003</t>
  </si>
  <si>
    <t>Праћење квалитета елемената животне средине</t>
  </si>
  <si>
    <t>Функционисање основних школа</t>
  </si>
  <si>
    <t>Функционисање средњих школа</t>
  </si>
  <si>
    <t>0101-0002</t>
  </si>
  <si>
    <t>1502-0001</t>
  </si>
  <si>
    <t>0101-0001</t>
  </si>
  <si>
    <t>2002-0001</t>
  </si>
  <si>
    <t>0901-0001</t>
  </si>
  <si>
    <t>0901-0002</t>
  </si>
  <si>
    <t>0901-0003</t>
  </si>
  <si>
    <t>0901-0004</t>
  </si>
  <si>
    <t>Саветодавно-терапијске и социјално-едукативне услуге</t>
  </si>
  <si>
    <t>0901-0005</t>
  </si>
  <si>
    <t>Функционисање установа примарне здравствене заштите</t>
  </si>
  <si>
    <t xml:space="preserve">Функционисање локалних установа културе </t>
  </si>
  <si>
    <t>1201-0001</t>
  </si>
  <si>
    <t>1201-0002</t>
  </si>
  <si>
    <t>1801-0001</t>
  </si>
  <si>
    <t>1301-0001</t>
  </si>
  <si>
    <t>Подршка локалним спортским организацијама, удружењима и савезима</t>
  </si>
  <si>
    <t>1301-0002</t>
  </si>
  <si>
    <t>0602-0001</t>
  </si>
  <si>
    <t>Функционисање локалне самоуправе и градских општина</t>
  </si>
  <si>
    <t>0602-0002</t>
  </si>
  <si>
    <t>0602-0003</t>
  </si>
  <si>
    <t>0602-0004</t>
  </si>
  <si>
    <t>Општинско јавно правобранилаштво</t>
  </si>
  <si>
    <t>0602-0005</t>
  </si>
  <si>
    <t>0602-0006</t>
  </si>
  <si>
    <t>0602-0007</t>
  </si>
  <si>
    <t>0602-0009</t>
  </si>
  <si>
    <t>0602-0010</t>
  </si>
  <si>
    <t>0701-0001</t>
  </si>
  <si>
    <t xml:space="preserve"> Програмска активност/  Пројекат</t>
  </si>
  <si>
    <t>Назив</t>
  </si>
  <si>
    <t xml:space="preserve">УКУПНИ ПРОГРАМСКИ ЈАВНИ РАСХОДИ </t>
  </si>
  <si>
    <t>Раздео</t>
  </si>
  <si>
    <t>Глава</t>
  </si>
  <si>
    <t>Функција</t>
  </si>
  <si>
    <t>Позиција</t>
  </si>
  <si>
    <t>Укупна јавна средства</t>
  </si>
  <si>
    <t>Програм-ска Класиф.</t>
  </si>
  <si>
    <t>Економ. Класиф.</t>
  </si>
  <si>
    <t>Укупно</t>
  </si>
  <si>
    <t>УКУПНО ПРЕНЕТА СРЕДСТВА, ТЕКУЋИ ПРИХОДИ И ПРИМАЊА</t>
  </si>
  <si>
    <t>УКУПНА ЈАВНА СРЕДСТВА</t>
  </si>
  <si>
    <t>3</t>
  </si>
  <si>
    <t>Надлежан орган/особа</t>
  </si>
  <si>
    <t>Плате, додаци и накнаде запослених (зараде)</t>
  </si>
  <si>
    <t>Накнаде у натури</t>
  </si>
  <si>
    <t>Остале донације, дотације и трансфери</t>
  </si>
  <si>
    <t>Административни трансфери из буџета - Текући расходи</t>
  </si>
  <si>
    <t>Административни трансфери из буџета - Издаци за нефинансијску имовину</t>
  </si>
  <si>
    <t>Административни трансфери из буџета - Издаци за отплату главнице и набавку финансијске имовине</t>
  </si>
  <si>
    <t>Административни трансфери из буџета - Средства резерве</t>
  </si>
  <si>
    <t>Драгоцености</t>
  </si>
  <si>
    <t>Накнаде трошкова за запослене</t>
  </si>
  <si>
    <t>Награде запосленима и остали посебни расходи</t>
  </si>
  <si>
    <t>Текуће поправке и одржавање</t>
  </si>
  <si>
    <t>Дотације невладиним организацијама</t>
  </si>
  <si>
    <t>Порези, обавезне таксе, казне и пенали</t>
  </si>
  <si>
    <t>Новчане казне и пенали по решењу судова</t>
  </si>
  <si>
    <t>Накнада штете за повреде или штету насталу услед елементарних непогода или других природних узрока</t>
  </si>
  <si>
    <t>Зграде и грађевински објекти</t>
  </si>
  <si>
    <t>Машине и опрема</t>
  </si>
  <si>
    <t>Робне резерве</t>
  </si>
  <si>
    <t>Земљиште</t>
  </si>
  <si>
    <t>ПРОГРАМ 11: СОЦИЈАЛНА И ДЕЧЈА ЗАШТИТА</t>
  </si>
  <si>
    <t>1502-0002</t>
  </si>
  <si>
    <t>Опште јавне услуге</t>
  </si>
  <si>
    <t>Функционисање локалних установа културе</t>
  </si>
  <si>
    <t>2001-0001</t>
  </si>
  <si>
    <t>Предшколско васпитање</t>
  </si>
  <si>
    <t>2003-0001</t>
  </si>
  <si>
    <t>ТЕКУЋИ РАСХОДИ</t>
  </si>
  <si>
    <t>КАПИТАЛНИ ИЗДАЦИ</t>
  </si>
  <si>
    <t>Изворни приходи</t>
  </si>
  <si>
    <t>Уступљени приходи</t>
  </si>
  <si>
    <t>0701-0002</t>
  </si>
  <si>
    <t>1101-0001</t>
  </si>
  <si>
    <t>1101-0002</t>
  </si>
  <si>
    <t>1101-П1</t>
  </si>
  <si>
    <t>1101-П2</t>
  </si>
  <si>
    <t>1101-П3</t>
  </si>
  <si>
    <t>1101-П4</t>
  </si>
  <si>
    <t>1101-П5</t>
  </si>
  <si>
    <t>1101-П6</t>
  </si>
  <si>
    <t>1101-П7</t>
  </si>
  <si>
    <t>1101-П8</t>
  </si>
  <si>
    <t>1101-П9</t>
  </si>
  <si>
    <t>1101-П10</t>
  </si>
  <si>
    <t>1101-П11</t>
  </si>
  <si>
    <t>1101-П12</t>
  </si>
  <si>
    <t>1101-П13</t>
  </si>
  <si>
    <t>1101-П14</t>
  </si>
  <si>
    <t>1101-П15</t>
  </si>
  <si>
    <t>1101-П16</t>
  </si>
  <si>
    <t>1101-П17</t>
  </si>
  <si>
    <t>1101-П18</t>
  </si>
  <si>
    <t>1101-П19</t>
  </si>
  <si>
    <t>1101-П20</t>
  </si>
  <si>
    <t>1101-П21</t>
  </si>
  <si>
    <t>1101-П22</t>
  </si>
  <si>
    <t>1101-П23</t>
  </si>
  <si>
    <t>1501-П1</t>
  </si>
  <si>
    <t>1501-П6</t>
  </si>
  <si>
    <t>1501-П7</t>
  </si>
  <si>
    <t>1501-П8</t>
  </si>
  <si>
    <t>1501-П9</t>
  </si>
  <si>
    <t>1501-П10</t>
  </si>
  <si>
    <t>1501-П11</t>
  </si>
  <si>
    <t>1501-П12</t>
  </si>
  <si>
    <t>1501-П13</t>
  </si>
  <si>
    <t>1501-П14</t>
  </si>
  <si>
    <t>1501-П15</t>
  </si>
  <si>
    <t>1501-П16</t>
  </si>
  <si>
    <t>1501-П17</t>
  </si>
  <si>
    <t>1501-П18</t>
  </si>
  <si>
    <t>1501-П19</t>
  </si>
  <si>
    <t>1501-П20</t>
  </si>
  <si>
    <t>1502-П1</t>
  </si>
  <si>
    <t>1502-П6</t>
  </si>
  <si>
    <t>1502-П7</t>
  </si>
  <si>
    <t>1502-П8</t>
  </si>
  <si>
    <t>1502-П9</t>
  </si>
  <si>
    <t>1502-П10</t>
  </si>
  <si>
    <t>1502-П11</t>
  </si>
  <si>
    <t>1502-П12</t>
  </si>
  <si>
    <t>1502-П13</t>
  </si>
  <si>
    <t>1502-П14</t>
  </si>
  <si>
    <t>1502-П15</t>
  </si>
  <si>
    <t>1502-П16</t>
  </si>
  <si>
    <t>1502-П17</t>
  </si>
  <si>
    <t>1502-П18</t>
  </si>
  <si>
    <t>1502-П19</t>
  </si>
  <si>
    <t>1502-П20</t>
  </si>
  <si>
    <t>0101-П6</t>
  </si>
  <si>
    <t>0101-П7</t>
  </si>
  <si>
    <t>0101-П8</t>
  </si>
  <si>
    <t>0101-П9</t>
  </si>
  <si>
    <t>0101-П10</t>
  </si>
  <si>
    <t>0101-П11</t>
  </si>
  <si>
    <t>0401-П6</t>
  </si>
  <si>
    <t>0401-П7</t>
  </si>
  <si>
    <t>0401-П8</t>
  </si>
  <si>
    <t>0401-П9</t>
  </si>
  <si>
    <t>0401-П10</t>
  </si>
  <si>
    <t>0401-П11</t>
  </si>
  <si>
    <t>0701-П1</t>
  </si>
  <si>
    <t>0701-П6</t>
  </si>
  <si>
    <t>0701-П7</t>
  </si>
  <si>
    <t>0701-П8</t>
  </si>
  <si>
    <t>0701-П9</t>
  </si>
  <si>
    <t>0701-П10</t>
  </si>
  <si>
    <t>0701-П11</t>
  </si>
  <si>
    <t>0701-П12</t>
  </si>
  <si>
    <t>0701-П13</t>
  </si>
  <si>
    <t>0701-П14</t>
  </si>
  <si>
    <t>0701-П15</t>
  </si>
  <si>
    <t>0701-П16</t>
  </si>
  <si>
    <t>0701-П17</t>
  </si>
  <si>
    <t>0701-П18</t>
  </si>
  <si>
    <t>0701-П19</t>
  </si>
  <si>
    <t>0701-П20</t>
  </si>
  <si>
    <t>2001-П1</t>
  </si>
  <si>
    <t>2001-П6</t>
  </si>
  <si>
    <t>2001-П7</t>
  </si>
  <si>
    <t>2001-П8</t>
  </si>
  <si>
    <t>2001-П9</t>
  </si>
  <si>
    <t>2001-П10</t>
  </si>
  <si>
    <t>2001-П11</t>
  </si>
  <si>
    <t>2001-П12</t>
  </si>
  <si>
    <t>2001-П13</t>
  </si>
  <si>
    <t>2001-П14</t>
  </si>
  <si>
    <t>2001-П15</t>
  </si>
  <si>
    <t>2001-П16</t>
  </si>
  <si>
    <t>2001-П17</t>
  </si>
  <si>
    <t>2001-П18</t>
  </si>
  <si>
    <t>2001-П19</t>
  </si>
  <si>
    <t>2001-П20</t>
  </si>
  <si>
    <t>2002-П1</t>
  </si>
  <si>
    <t>2002-П6</t>
  </si>
  <si>
    <t>2002-П7</t>
  </si>
  <si>
    <t>2002-П8</t>
  </si>
  <si>
    <t>2002-П9</t>
  </si>
  <si>
    <t>2002-П10</t>
  </si>
  <si>
    <t>2002-П11</t>
  </si>
  <si>
    <t>2002-П12</t>
  </si>
  <si>
    <t>2002-П13</t>
  </si>
  <si>
    <t>2002-П14</t>
  </si>
  <si>
    <t>2002-П15</t>
  </si>
  <si>
    <t>2002-П16</t>
  </si>
  <si>
    <t>2002-П17</t>
  </si>
  <si>
    <t>2002-П18</t>
  </si>
  <si>
    <t>2002-П19</t>
  </si>
  <si>
    <t>2002-П20</t>
  </si>
  <si>
    <t>2003-П1</t>
  </si>
  <si>
    <t>2003-П6</t>
  </si>
  <si>
    <t>2003-П7</t>
  </si>
  <si>
    <t>2003-П8</t>
  </si>
  <si>
    <t>2003-П9</t>
  </si>
  <si>
    <t>2003-П10</t>
  </si>
  <si>
    <t>2003-П11</t>
  </si>
  <si>
    <t>2003-П12</t>
  </si>
  <si>
    <t>2003-П13</t>
  </si>
  <si>
    <t>2003-П14</t>
  </si>
  <si>
    <t>2003-П15</t>
  </si>
  <si>
    <t>2003-П16</t>
  </si>
  <si>
    <t>2003-П17</t>
  </si>
  <si>
    <t>2003-П18</t>
  </si>
  <si>
    <t>2003-П19</t>
  </si>
  <si>
    <t>2003-П20</t>
  </si>
  <si>
    <t>0901-П1</t>
  </si>
  <si>
    <t>0901-П2</t>
  </si>
  <si>
    <t>0901-П3</t>
  </si>
  <si>
    <t>0901-П4</t>
  </si>
  <si>
    <t>0901-П6</t>
  </si>
  <si>
    <t>0901-П7</t>
  </si>
  <si>
    <t>0901-П8</t>
  </si>
  <si>
    <t>0901-П9</t>
  </si>
  <si>
    <t>0901-П10</t>
  </si>
  <si>
    <t>0901-П11</t>
  </si>
  <si>
    <t>0901-П12</t>
  </si>
  <si>
    <t>0901-П13</t>
  </si>
  <si>
    <t>0901-П14</t>
  </si>
  <si>
    <t>0901-П15</t>
  </si>
  <si>
    <t>0901-П16</t>
  </si>
  <si>
    <t>0901-П17</t>
  </si>
  <si>
    <t>0901-П18</t>
  </si>
  <si>
    <t>0901-П19</t>
  </si>
  <si>
    <t>0901-П20</t>
  </si>
  <si>
    <t>1801-П1</t>
  </si>
  <si>
    <t>1801-П6</t>
  </si>
  <si>
    <t>1801-П7</t>
  </si>
  <si>
    <t>1801-П8</t>
  </si>
  <si>
    <t>1801-П9</t>
  </si>
  <si>
    <t>1801-П10</t>
  </si>
  <si>
    <t>1801-П11</t>
  </si>
  <si>
    <t>1801-П12</t>
  </si>
  <si>
    <t>1801-П13</t>
  </si>
  <si>
    <t>1801-П14</t>
  </si>
  <si>
    <t>1801-П15</t>
  </si>
  <si>
    <t>1801-П16</t>
  </si>
  <si>
    <t>1801-П17</t>
  </si>
  <si>
    <t>1801-П18</t>
  </si>
  <si>
    <t>1801-П19</t>
  </si>
  <si>
    <t>1801-П20</t>
  </si>
  <si>
    <t>1201-П1</t>
  </si>
  <si>
    <t>1201-П6</t>
  </si>
  <si>
    <t>1201-П7</t>
  </si>
  <si>
    <t>1201-П8</t>
  </si>
  <si>
    <t>1201-П9</t>
  </si>
  <si>
    <t>1201-П10</t>
  </si>
  <si>
    <t>1201-П11</t>
  </si>
  <si>
    <t>1201-П12</t>
  </si>
  <si>
    <t>1201-П13</t>
  </si>
  <si>
    <t>1201-П14</t>
  </si>
  <si>
    <t>1201-П15</t>
  </si>
  <si>
    <t>1201-П16</t>
  </si>
  <si>
    <t>1201-П17</t>
  </si>
  <si>
    <t>1201-П18</t>
  </si>
  <si>
    <t>1201-П19</t>
  </si>
  <si>
    <t>1201-П20</t>
  </si>
  <si>
    <t>1301-П1</t>
  </si>
  <si>
    <t>1301-П6</t>
  </si>
  <si>
    <t>1301-П7</t>
  </si>
  <si>
    <t>1301-П8</t>
  </si>
  <si>
    <t>1301-П9</t>
  </si>
  <si>
    <t>1301-П10</t>
  </si>
  <si>
    <t>1301-П11</t>
  </si>
  <si>
    <t>1301-П12</t>
  </si>
  <si>
    <t>1301-П13</t>
  </si>
  <si>
    <t>1301-П14</t>
  </si>
  <si>
    <t>1301-П15</t>
  </si>
  <si>
    <t>1301-П16</t>
  </si>
  <si>
    <t>1301-П17</t>
  </si>
  <si>
    <t>1301-П18</t>
  </si>
  <si>
    <t>1301-П19</t>
  </si>
  <si>
    <t>1301-П20</t>
  </si>
  <si>
    <t>СКУПШТИНА ОПШТИНЕ</t>
  </si>
  <si>
    <t>Дотације невладиним организацијама-политички субјекти</t>
  </si>
  <si>
    <t>ОПШТИНСКО ВЕЋЕ</t>
  </si>
  <si>
    <t>ПРЕДСЕДНИК  ОПШТИНЕ</t>
  </si>
  <si>
    <t>ОПШТИНСКА УПРАВА</t>
  </si>
  <si>
    <t>Социјална помоћ угроженон становништву некласификована на другом месту</t>
  </si>
  <si>
    <t>Донације невладиним организацијама</t>
  </si>
  <si>
    <t>Дотације  Црвеном Крсту</t>
  </si>
  <si>
    <t>Остале накнаде за социјалну заштиту из буџета</t>
  </si>
  <si>
    <t>0901-0006</t>
  </si>
  <si>
    <t>Трансфери Дому здравља</t>
  </si>
  <si>
    <t>Стална буџетска резерва</t>
  </si>
  <si>
    <t>Текућа буџетска резерва</t>
  </si>
  <si>
    <t>ДЕЧИЈИ ВРТИЋ  "ПЧЕЛИЦА"</t>
  </si>
  <si>
    <t>Свега за програмску активност 2001-0001</t>
  </si>
  <si>
    <t>Свега за програмску активност 2003-0001</t>
  </si>
  <si>
    <t>УСТАНОВА СПОРТСКИ ЦЕНТАР "КУЊАК"</t>
  </si>
  <si>
    <t>ПРОГРАМ 10:  СРЕДЊЕ ОБРАЗОВАЊЕ</t>
  </si>
  <si>
    <t>ПРОГРАМ 14:  РАЗВОЈ СПОРТА И ОМЛАДИНЕ</t>
  </si>
  <si>
    <t>Капитално одржавање зграда и објеката</t>
  </si>
  <si>
    <t>ЦЕНТАР ЗА КУЛТУРНЕ ДЕЛАТНОСТИ, ТУРИЗАМ И БИБЛИОТЕКАРСТВО</t>
  </si>
  <si>
    <t>Свега за програмску активност 1201-0001</t>
  </si>
  <si>
    <t>ПРОГРАМ 2: КОМУНАЛНА ДЕЛАТНОСТ</t>
  </si>
  <si>
    <t>Капиталне субвенције ЈП Комунално</t>
  </si>
  <si>
    <t>БУЏЕТСКИ ФОНД ЗА ЗАШТИТУ И УНАПРЕЂЕЊЕ ЖИВОТНЕ СРЕДИНЕ</t>
  </si>
  <si>
    <t>ПРОГРАМ 6: ЗАШТИТА ЖИВОТНЕ СРЕДИНЕ</t>
  </si>
  <si>
    <t>Управљање комуналним  отпадом</t>
  </si>
  <si>
    <t>Повереништво за избеглице</t>
  </si>
  <si>
    <t>СВЕГА ЗА РАЗДЕЛЕ ОД 1 ДО 5</t>
  </si>
  <si>
    <t>ИЗВОРИ ФИНАНСИРАЊА ЗА РАЗДЕЛЕ ОД 1 ДО 5</t>
  </si>
  <si>
    <t>01   Приходи из буџета</t>
  </si>
  <si>
    <t>02  Трансфери између корисника на истом нивоу</t>
  </si>
  <si>
    <t>03   Социјални доприноси</t>
  </si>
  <si>
    <t>04  Сопствени приходи буџетских корисника</t>
  </si>
  <si>
    <t>05  Донације од иностраних земаља</t>
  </si>
  <si>
    <t>06  Донације од међународних организација</t>
  </si>
  <si>
    <t>09  Примања од продаје нефинансијске имовине</t>
  </si>
  <si>
    <t>10  Примања од домаћих задуживања</t>
  </si>
  <si>
    <t>11  Примања од иностраних задуживања</t>
  </si>
  <si>
    <t>12  Примања од отплате датих кредита и продаје финансијске имовине</t>
  </si>
  <si>
    <t>13  Нераспоређени вишак прихода из ранијих година</t>
  </si>
  <si>
    <t>Усулуге емитовања и штампања</t>
  </si>
  <si>
    <t>Књиге у библиотеци</t>
  </si>
  <si>
    <t>Капиталне субвенције за пољопривреду</t>
  </si>
  <si>
    <t>Посебна такса за регистрацију одређених моторних возила</t>
  </si>
  <si>
    <t>732151</t>
  </si>
  <si>
    <t>732251</t>
  </si>
  <si>
    <t>Ненаменски трансфери од Републике у корист нивоа општина</t>
  </si>
  <si>
    <t>733154</t>
  </si>
  <si>
    <t>Текући наменски трансфери, у ужем смислу, од Републике у корист нивоа општина</t>
  </si>
  <si>
    <t>733251</t>
  </si>
  <si>
    <t>Капитални трансфери од других нивоа власти у корист нивоа општина</t>
  </si>
  <si>
    <t>741151</t>
  </si>
  <si>
    <t>Приходи буџета општина од камата на средства консолидованог рачуна трезора укључена у депозит банака</t>
  </si>
  <si>
    <t>742152</t>
  </si>
  <si>
    <t>Приходи од давања у закуп, односно на коришћење непокретности у државној својини које користе општине и индиректни корисници њиховог буџета</t>
  </si>
  <si>
    <t>Општинске административне таксе</t>
  </si>
  <si>
    <t>743350</t>
  </si>
  <si>
    <t>Приходи од новчаних казни за прекршаје у корист нивоа општина</t>
  </si>
  <si>
    <t>745151</t>
  </si>
  <si>
    <t>Остали приходи у корист нивоа општина</t>
  </si>
  <si>
    <t>Свега за програмску активност 0602-0004</t>
  </si>
  <si>
    <t>Остале донације дотације и трансфери</t>
  </si>
  <si>
    <t xml:space="preserve">Услуге по уговору </t>
  </si>
  <si>
    <t>Примања од продаје земљишта</t>
  </si>
  <si>
    <t>ПРИМАЊА ОД ПРОДАЈЕ ЗЕМЉИШТА</t>
  </si>
  <si>
    <t xml:space="preserve">Пренети приходи </t>
  </si>
  <si>
    <t>0602-0014</t>
  </si>
  <si>
    <t>Извор финансирања</t>
  </si>
  <si>
    <t>01-07</t>
  </si>
  <si>
    <t>01-04</t>
  </si>
  <si>
    <t>Накнада штете нанете од стране државног органа</t>
  </si>
  <si>
    <t>860</t>
  </si>
  <si>
    <t>Рекреација спорт, култура и вере некласификовани на др. мес.</t>
  </si>
  <si>
    <t>2002-П2</t>
  </si>
  <si>
    <t>Пројекат ограђивања, замене котларница и изградње спортских игралишта у ОШ Бранко Радичевић</t>
  </si>
  <si>
    <t>Порез на пренос апсолутних права код продаје стечајног дужника као правног лица</t>
  </si>
  <si>
    <t>Специјализоване услуге - Мртвозорство</t>
  </si>
  <si>
    <t>1505-4001</t>
  </si>
  <si>
    <t>ПРОГРАМ 16: ПОЛИТИЧКИ СИСТЕМ ЛОКАЛНЕ САМОУПРАВЕ</t>
  </si>
  <si>
    <t>2101</t>
  </si>
  <si>
    <t>2101-0001</t>
  </si>
  <si>
    <t>Функционисање Скупштине Општине</t>
  </si>
  <si>
    <t>Мере активне политике запошљавања</t>
  </si>
  <si>
    <t>Подршка за спровођење пољ. политике у Општини</t>
  </si>
  <si>
    <t>ПРОГРАМ 5: ПОЉОПРИВРЕДА И РУРАЛНИ РАЗ.</t>
  </si>
  <si>
    <t>1102</t>
  </si>
  <si>
    <t>1102-0008</t>
  </si>
  <si>
    <t>1102-П1</t>
  </si>
  <si>
    <t>1102-П2</t>
  </si>
  <si>
    <t>Свега за програмску активност 2101-0001</t>
  </si>
  <si>
    <t>2101-0002</t>
  </si>
  <si>
    <t>Функционисање  извршних органа</t>
  </si>
  <si>
    <t>Свега за програмску активност 2101-0002</t>
  </si>
  <si>
    <t>1301-0005</t>
  </si>
  <si>
    <t>Просторно и урбанистичко планирање</t>
  </si>
  <si>
    <t>Свега за програмску активност 1101-0001</t>
  </si>
  <si>
    <t>1101-0004</t>
  </si>
  <si>
    <t>1102-0001</t>
  </si>
  <si>
    <t>1102-0002</t>
  </si>
  <si>
    <t>Одржавање јавних зелених површина</t>
  </si>
  <si>
    <t>Заштита животне средине некласификована на др.</t>
  </si>
  <si>
    <t>1102-0003</t>
  </si>
  <si>
    <t>Одржавање чистоће на површинама јавне намене</t>
  </si>
  <si>
    <t>1102-0005</t>
  </si>
  <si>
    <t>1102-0006</t>
  </si>
  <si>
    <t>Одржавање гробаља и погребне услуге</t>
  </si>
  <si>
    <t>Управљање и снабдевање водом за пиће</t>
  </si>
  <si>
    <t>Р1505</t>
  </si>
  <si>
    <t>ПРОГРАМ 18  РС: РЕГИОНАЛНИ РАЗВОЈ</t>
  </si>
  <si>
    <t>ПРОГРАМ 8   ПРЕДШКОЛСКО ВАСПИТАЊЕ И ОБРАЗОВАЊЕ</t>
  </si>
  <si>
    <t>Свега за Пројекат РС1505-4001/2001-П1</t>
  </si>
  <si>
    <t>Подршка развоју локалне и регионалне инфраструктуре - Изградња објекта дечјег вртића у Владичином Хану</t>
  </si>
  <si>
    <t>ПРОГРАМ 7: ОРГАНИЗАЦИЈА САОБРАЋАЈА И САОБРАЋАЈНЕ  ИНФРАСТРУКТУРЕ</t>
  </si>
  <si>
    <t>0701-П2</t>
  </si>
  <si>
    <t>ПРОГРАМ 9:  ОСНОВНО ОБРАЗОВАЊЕ И ВАСПИТАЊЕ</t>
  </si>
  <si>
    <t>Подршка деци и породицама са децом</t>
  </si>
  <si>
    <t>1801-0003</t>
  </si>
  <si>
    <t>Мрвозорство</t>
  </si>
  <si>
    <t>ПРОГРАМ 13:  РАЗВОЈ КУЛТУРЕ И ИНФОРМИСАЊА</t>
  </si>
  <si>
    <t>Унапређење система очувања и представљања културно историјског наслеђа</t>
  </si>
  <si>
    <t>1201-0004</t>
  </si>
  <si>
    <t>Остваривање и унапређивање јавног интереса у области јавног информисања</t>
  </si>
  <si>
    <t>Спровођење омладинске политике</t>
  </si>
  <si>
    <t>Рекреација,спорт, култура и вере некласификовани на другом месту</t>
  </si>
  <si>
    <t>ПРОГРАМ 8:   ПРЕДШКОЛСКО ВАСПИТАЊЕ И ОБРАЗОВАЊЕ</t>
  </si>
  <si>
    <t>1301-0004</t>
  </si>
  <si>
    <t>Функционисање локалних спортских установа</t>
  </si>
  <si>
    <t>ПРОГРАМ 4:  РАЗВОЈ ТУРИЗМА</t>
  </si>
  <si>
    <t>Свега за програмску активност 1502-0002</t>
  </si>
  <si>
    <t>1501-0001</t>
  </si>
  <si>
    <t>Унапређење привредног и инвестиц. амбијента</t>
  </si>
  <si>
    <t>0401-0004</t>
  </si>
  <si>
    <t>Заштита природе</t>
  </si>
  <si>
    <t>0401-П1</t>
  </si>
  <si>
    <t>0401-0005</t>
  </si>
  <si>
    <t>330</t>
  </si>
  <si>
    <t>443</t>
  </si>
  <si>
    <t>РУДАРСТВО, ПРОИЗВОДЊА И ИЗГРАДЊА</t>
  </si>
  <si>
    <t>473</t>
  </si>
  <si>
    <t>ОСТАЛЕ ДЕЛАТНОСТИ</t>
  </si>
  <si>
    <t>1101-0003</t>
  </si>
  <si>
    <t xml:space="preserve">Управљање грађевинским земљиштем </t>
  </si>
  <si>
    <t>1102-0004</t>
  </si>
  <si>
    <t>1102-0007</t>
  </si>
  <si>
    <t>Управљање/одржавање јавним осветљењем</t>
  </si>
  <si>
    <t>Уређивање/одржавање и коришћење пијаца</t>
  </si>
  <si>
    <t>Производња и дистрибуција топлотне енергије</t>
  </si>
  <si>
    <t>Зоохигијена</t>
  </si>
  <si>
    <t>ПРОГРАМ 15: ОПШТЕ УСЛУГЕ ЛОКАЛНЕ САМОУПРАВЕ</t>
  </si>
  <si>
    <t>Подршка реализацији програма Црвеног крста Владичин Хан</t>
  </si>
  <si>
    <t>ПРОГРАМ 12: ЗДРАВСТВЕНА ЗАШТИТА</t>
  </si>
  <si>
    <t>1801-0002</t>
  </si>
  <si>
    <t>Свега за програмску активност 1801-0002</t>
  </si>
  <si>
    <t>1201-0003</t>
  </si>
  <si>
    <t>Свега за програмску активност 1301-0004</t>
  </si>
  <si>
    <t>Промоција туристичке понуде</t>
  </si>
  <si>
    <t>Спровођење урбанистичких и просторних планова</t>
  </si>
  <si>
    <t>Унапређење привредног и инвестиционог амбијента</t>
  </si>
  <si>
    <t>1501-0003</t>
  </si>
  <si>
    <t>Програм 5.  Пољопривреда и рурални развој</t>
  </si>
  <si>
    <t>Подршка за спровођење пољопривредне политике у локалној заједници</t>
  </si>
  <si>
    <t>Мере подршке руралном развоју</t>
  </si>
  <si>
    <t>0401-0006</t>
  </si>
  <si>
    <t xml:space="preserve">Управљање заштитом животне средине </t>
  </si>
  <si>
    <t>Управљање осталим врстама отпада</t>
  </si>
  <si>
    <t>Програм 7.  Организација саобраћаја и саобраћајне  инфраструктуре</t>
  </si>
  <si>
    <t>Програм 8.  Предшколско васпитање и образовање</t>
  </si>
  <si>
    <t>Пројекат Изградња објекта дечјег вртића у Владичином Хану</t>
  </si>
  <si>
    <t>Програм 9.  Основно образовање и васпитање</t>
  </si>
  <si>
    <t>Програм 10. Средње образовање и васпитање</t>
  </si>
  <si>
    <t>0901-0007</t>
  </si>
  <si>
    <t>0901-0008</t>
  </si>
  <si>
    <t>Подршка реализацији програма  Црвеног крста</t>
  </si>
  <si>
    <t>Програм 12.  Здравствена заштита</t>
  </si>
  <si>
    <t>Мртвозорство</t>
  </si>
  <si>
    <t>Спровођење активности из области друштвене бриге за јавно здравље</t>
  </si>
  <si>
    <t>Програм 13.  Развој културе и информисања</t>
  </si>
  <si>
    <t>1201-0005</t>
  </si>
  <si>
    <t>1201-0006</t>
  </si>
  <si>
    <t>Остваривање/унапређивање јавног интереса у области јавног информисања</t>
  </si>
  <si>
    <t>унапређење јавног информисања на језицима националних мањина</t>
  </si>
  <si>
    <t>унапређере јавног информисања особа са инвалидитетом</t>
  </si>
  <si>
    <t>Подршка предшколском и школском спорту</t>
  </si>
  <si>
    <t>Програм 15.  Опште услуге локалне самоуправе</t>
  </si>
  <si>
    <t>0602-0011</t>
  </si>
  <si>
    <t>Функционисање месних заједница</t>
  </si>
  <si>
    <t>Сервисирање јавног дуга</t>
  </si>
  <si>
    <t>Инспекцијски послови</t>
  </si>
  <si>
    <t>Функционисање националних савета националних мањина</t>
  </si>
  <si>
    <t>Управљање у ванредним ситуацијама</t>
  </si>
  <si>
    <t>Програм 16. Политички систем локалне самоуправе</t>
  </si>
  <si>
    <t>2101-0003</t>
  </si>
  <si>
    <t>Функционисање скупштине</t>
  </si>
  <si>
    <t>функционисање извршних органа</t>
  </si>
  <si>
    <t>подршка раду извршних органа власти и скупштине</t>
  </si>
  <si>
    <t>Накнаде за соц. Заш. из буџета - Студентске стипен.</t>
  </si>
  <si>
    <t>07  Трансфери од осталих нивоа власти</t>
  </si>
  <si>
    <t>0701-П5</t>
  </si>
  <si>
    <r>
      <t>Буџетски</t>
    </r>
    <r>
      <rPr>
        <b/>
        <u/>
        <sz val="12"/>
        <rFont val="Times New Roman"/>
        <family val="1"/>
      </rPr>
      <t xml:space="preserve"> </t>
    </r>
    <r>
      <rPr>
        <b/>
        <sz val="12"/>
        <rFont val="Times New Roman"/>
        <family val="1"/>
      </rPr>
      <t>суфицит</t>
    </r>
    <r>
      <rPr>
        <b/>
        <sz val="12"/>
        <rFont val="Times New Roman"/>
        <family val="1"/>
        <charset val="238"/>
      </rPr>
      <t>/</t>
    </r>
    <r>
      <rPr>
        <b/>
        <u/>
        <sz val="12"/>
        <rFont val="Times New Roman"/>
        <family val="1"/>
      </rPr>
      <t>дефицит</t>
    </r>
  </si>
  <si>
    <r>
      <t xml:space="preserve">Укупан фискални </t>
    </r>
    <r>
      <rPr>
        <b/>
        <sz val="12"/>
        <rFont val="Times New Roman"/>
        <family val="1"/>
      </rPr>
      <t>суфицит</t>
    </r>
    <r>
      <rPr>
        <b/>
        <sz val="12"/>
        <rFont val="Times New Roman"/>
        <family val="1"/>
        <charset val="238"/>
      </rPr>
      <t>/</t>
    </r>
    <r>
      <rPr>
        <b/>
        <u/>
        <sz val="12"/>
        <rFont val="Times New Roman"/>
        <family val="1"/>
      </rPr>
      <t>дефицит</t>
    </r>
    <r>
      <rPr>
        <b/>
        <sz val="12"/>
        <rFont val="Times New Roman"/>
        <family val="1"/>
        <charset val="238"/>
      </rPr>
      <t xml:space="preserve"> </t>
    </r>
  </si>
  <si>
    <t>Субвенције јавним  нефинансијским предузећима и организацијама</t>
  </si>
  <si>
    <t xml:space="preserve">Субвенције приватним предузећима </t>
  </si>
  <si>
    <t>СВЕГА ЗА РАЗДЕО 5 - ОПШТИНСКА УПРАВА</t>
  </si>
  <si>
    <t>Пројекат "Израда пр-тех. документације за изградњу колектора и постројења за пречишћавање отпадних вода за Владичин Хан и Сурдулицу "</t>
  </si>
  <si>
    <t>Дотације невладиним орг. - пољопривредни фондови</t>
  </si>
  <si>
    <t>Такса за озакоњење објеката у корист нивоа Општина</t>
  </si>
  <si>
    <t>Капиталне донације од међународних организација у корист нивоа општина</t>
  </si>
  <si>
    <t>Текуће донације од међународних организација у корист нивоа општина</t>
  </si>
  <si>
    <t>Залихе производње</t>
  </si>
  <si>
    <t>0501</t>
  </si>
  <si>
    <t>ПРОГРАМ 17:  ЕНЕРГЕТСКА ЕФИКАСНОСТ</t>
  </si>
  <si>
    <t>0501-0001</t>
  </si>
  <si>
    <t>Свега за програмску активност 0501-0001</t>
  </si>
  <si>
    <t>Опште јавне услуге некласифик. на другом месту</t>
  </si>
  <si>
    <t>ПРОГРАМ 3: ЛОКАЛНИ ЕКОНОМСКИ РАЗВОЈ</t>
  </si>
  <si>
    <t>Текући Трансфери Центру за социјални рад</t>
  </si>
  <si>
    <t>Капитални Трансфери Центру за социјални рад</t>
  </si>
  <si>
    <t>Дотације невладиним организацијама СКГО, НАЛЕД, ЦРЈП</t>
  </si>
  <si>
    <t xml:space="preserve">Дотације невладиним организацијама - Суфинансирање Пројеката  повећавања могућности запошљавања </t>
  </si>
  <si>
    <r>
      <t>Укупан фискални суфицит/</t>
    </r>
    <r>
      <rPr>
        <b/>
        <u/>
        <sz val="12"/>
        <rFont val="Times New Roman"/>
        <family val="1"/>
        <charset val="238"/>
      </rPr>
      <t>дефицит</t>
    </r>
    <r>
      <rPr>
        <b/>
        <sz val="12"/>
        <rFont val="Times New Roman"/>
        <family val="1"/>
        <charset val="238"/>
      </rPr>
      <t xml:space="preserve"> плус нето финансирање</t>
    </r>
  </si>
  <si>
    <t>ПРОГРАМ 1:  СТАНОВАЊЕ УРБАНИЗАМ И ПРОСТОРНО ПЛАНИРАЊЕ</t>
  </si>
  <si>
    <t>Унапређење безбедности саобраћаја у Општини</t>
  </si>
  <si>
    <t>Управљање и одржавање саобраћајне инфраструктуре</t>
  </si>
  <si>
    <t>Једнократне помоћи и други облици помоћи</t>
  </si>
  <si>
    <t>Енергетски менаџмент</t>
  </si>
  <si>
    <t>Функционисање и остваривање предшколског васпитања и образовања</t>
  </si>
  <si>
    <t>Управљање заштитом животне средине</t>
  </si>
  <si>
    <t>Дневне услуге у заједници</t>
  </si>
  <si>
    <t xml:space="preserve">Подршка особама са инвалидитетом </t>
  </si>
  <si>
    <t>Дотације  невладиним организацијама</t>
  </si>
  <si>
    <t>Подршка рађању и родитељству</t>
  </si>
  <si>
    <t>Стамбена подршка</t>
  </si>
  <si>
    <t xml:space="preserve">Израда пр-тех. документације за изградњу колектора и постројења за пречишћавање отпадних вода за Владичин Хан и Сурдулицу </t>
  </si>
  <si>
    <t>Програм 1.  Становање, урбанизам  и просторно планирање</t>
  </si>
  <si>
    <t>1101-0005</t>
  </si>
  <si>
    <t>Остваривање јавног интереса у одржавању зграда</t>
  </si>
  <si>
    <t>Програм 2.  Комуналне делатности</t>
  </si>
  <si>
    <t>1501-П2</t>
  </si>
  <si>
    <t>1501-П3</t>
  </si>
  <si>
    <t>1501-П4</t>
  </si>
  <si>
    <t>1501-П5</t>
  </si>
  <si>
    <t>Подршка економском развоју и промоцији предузетништва</t>
  </si>
  <si>
    <t>1502-П2</t>
  </si>
  <si>
    <t>1502-П3</t>
  </si>
  <si>
    <t>1502-П4</t>
  </si>
  <si>
    <t>1502-П5</t>
  </si>
  <si>
    <t>0101-П1</t>
  </si>
  <si>
    <t>0101-П2</t>
  </si>
  <si>
    <t>0101-П3</t>
  </si>
  <si>
    <t>0101-П4</t>
  </si>
  <si>
    <t>0101-П5</t>
  </si>
  <si>
    <t>0401-П2</t>
  </si>
  <si>
    <t>0401-П3</t>
  </si>
  <si>
    <t>0401-П4</t>
  </si>
  <si>
    <t>0401-П5</t>
  </si>
  <si>
    <t>Унапређење безбедности саобраћаја на територији Општине</t>
  </si>
  <si>
    <t>0701-0004</t>
  </si>
  <si>
    <t>Јавни градски и приградски превоз путника</t>
  </si>
  <si>
    <t xml:space="preserve">Функционисање и остваривање предшколског образовања и васпитања </t>
  </si>
  <si>
    <t>2001-П2</t>
  </si>
  <si>
    <t>2001-П3</t>
  </si>
  <si>
    <t>2001-П4</t>
  </si>
  <si>
    <t>2001-П5</t>
  </si>
  <si>
    <t>2002-П3</t>
  </si>
  <si>
    <t>2002-П4</t>
  </si>
  <si>
    <t>2002-П5</t>
  </si>
  <si>
    <t>2003-П2</t>
  </si>
  <si>
    <t>2003-П3</t>
  </si>
  <si>
    <t>2003-П4</t>
  </si>
  <si>
    <t>2003-П5</t>
  </si>
  <si>
    <t>Породични и домски смештај, прихватилишта и друге врсте смештаја</t>
  </si>
  <si>
    <t>Подршка особама са инвалидитетом</t>
  </si>
  <si>
    <t>0901-П5</t>
  </si>
  <si>
    <t>1801-П2</t>
  </si>
  <si>
    <t>1801-П3</t>
  </si>
  <si>
    <t>1801-П4</t>
  </si>
  <si>
    <t>1801-П5</t>
  </si>
  <si>
    <t>Јачање културне продукције и уметничког стваралаштва</t>
  </si>
  <si>
    <t>1201-П2</t>
  </si>
  <si>
    <t>1201-П3</t>
  </si>
  <si>
    <t>1201-П4</t>
  </si>
  <si>
    <t>1201-П5</t>
  </si>
  <si>
    <t>1301-П2</t>
  </si>
  <si>
    <t>1301-П3</t>
  </si>
  <si>
    <t>1301-П4</t>
  </si>
  <si>
    <t>1301-П5</t>
  </si>
  <si>
    <t>Омбудсман</t>
  </si>
  <si>
    <t>Програм 17. Енергетска ефикасност и обновљиви извори енергије</t>
  </si>
  <si>
    <t>енергетски менаџмент</t>
  </si>
  <si>
    <t>0501-П1</t>
  </si>
  <si>
    <t>0501-П2</t>
  </si>
  <si>
    <t>0501-П3</t>
  </si>
  <si>
    <t>Порез на остале приходе</t>
  </si>
  <si>
    <t>Порез на приходе спортиста и спортских стручњака</t>
  </si>
  <si>
    <t>741522</t>
  </si>
  <si>
    <t>741526</t>
  </si>
  <si>
    <t>Средства остварена од давања у закуп пољопривредног земљишта</t>
  </si>
  <si>
    <t>Накнада за коришћење шума и шумског земљишта</t>
  </si>
  <si>
    <t>745153</t>
  </si>
  <si>
    <t>Део добити јавног предузећа према одлуци управног одбора јавног предузећа у корист нивоа општина</t>
  </si>
  <si>
    <t>Приходи које својом делатношћу остваре органи и организације Општине</t>
  </si>
  <si>
    <t>742156</t>
  </si>
  <si>
    <t>Приходи остварени по основу пружања услуга боравка деце у предшколским установама у корист нивоа општине</t>
  </si>
  <si>
    <t>Средства буџета</t>
  </si>
  <si>
    <t>извор финан.</t>
  </si>
  <si>
    <t>08  Добровољни трансфери физичких и правних лица</t>
  </si>
  <si>
    <t>14  Неутрошена средства од приватизације из ранијих година</t>
  </si>
  <si>
    <t>15 Неутрошена средства донација из ранијих година</t>
  </si>
  <si>
    <t>16 Родитељски динар за ваннаставне активности</t>
  </si>
  <si>
    <t>56 Финансијска помоћ Европске уније</t>
  </si>
  <si>
    <t xml:space="preserve">Средства из буџета           </t>
  </si>
  <si>
    <t xml:space="preserve">Остала средства корисника буџета </t>
  </si>
  <si>
    <t>остала средства корисника буџета</t>
  </si>
  <si>
    <t>приходи из буџета</t>
  </si>
  <si>
    <t>донације од међународних организација</t>
  </si>
  <si>
    <t>трансфери од других нивоа власти</t>
  </si>
  <si>
    <t>примања од продаје нефинансијске имовине</t>
  </si>
  <si>
    <t>нераспоређени вишак прихода из ранијих година</t>
  </si>
  <si>
    <t xml:space="preserve">Капиталне субвенције ЈП Водовод </t>
  </si>
  <si>
    <t>Пројекат "Изградња водоводне мреже у МЗ Мазараћ и МЗ Манајле</t>
  </si>
  <si>
    <t>Пројекат "Рехабилитација локалног пута Брестово - Јагњило и реконструкција Београдске улице"</t>
  </si>
  <si>
    <r>
      <t xml:space="preserve">СВЕГА ЗА РАЗДЕО 1 - СКУПШТИНА ОПШТИНЕ           </t>
    </r>
    <r>
      <rPr>
        <b/>
        <i/>
        <sz val="11"/>
        <color theme="1"/>
        <rFont val="Times New Roman"/>
        <family val="1"/>
        <charset val="238"/>
      </rPr>
      <t>извор финансирања  за раздео   1 - 01 приходи из буџета</t>
    </r>
  </si>
  <si>
    <r>
      <t xml:space="preserve">СВЕГА ЗА РАЗДЕО 2 - ОПШТИНСКО   ВЕЋЕ                    </t>
    </r>
    <r>
      <rPr>
        <b/>
        <i/>
        <sz val="11"/>
        <color theme="1"/>
        <rFont val="Times New Roman"/>
        <family val="1"/>
        <charset val="238"/>
      </rPr>
      <t>извори финансирања  за раздео    2 - 01 - приходи из буџета</t>
    </r>
  </si>
  <si>
    <r>
      <t xml:space="preserve">СВЕГА ЗА РАЗДЕО 3 - ПРЕДСЕДНИК  ОПШТИНЕ         </t>
    </r>
    <r>
      <rPr>
        <b/>
        <i/>
        <sz val="11"/>
        <color theme="1"/>
        <rFont val="Times New Roman"/>
        <family val="1"/>
        <charset val="238"/>
      </rPr>
      <t>извор финансирања за раздео 3 - 01 - приходи из буџета</t>
    </r>
  </si>
  <si>
    <r>
      <t xml:space="preserve">СВЕГА ЗА РАЗДЕО 4 -   ОПШТИНСКО ЈАВНО ПРАВОБР.  </t>
    </r>
    <r>
      <rPr>
        <b/>
        <i/>
        <sz val="11"/>
        <color theme="1"/>
        <rFont val="Times New Roman"/>
        <family val="1"/>
        <charset val="238"/>
      </rPr>
      <t>Извор финансирања за раздео 4 - 01 - приходи из буџета</t>
    </r>
  </si>
  <si>
    <r>
      <t xml:space="preserve">Свега за програмску активност 1102-0002                          </t>
    </r>
    <r>
      <rPr>
        <b/>
        <i/>
        <sz val="11"/>
        <color theme="1"/>
        <rFont val="Times New Roman"/>
        <family val="1"/>
        <charset val="238"/>
      </rPr>
      <t>извор финансирања 01 - приходи из буџета</t>
    </r>
  </si>
  <si>
    <t>Изградња водоводне мреже у МЗ Мазараћ и МЗ Манајле</t>
  </si>
  <si>
    <t>Пројекат експропријације земљишта у појасу индустријске зоне Владичин Хан</t>
  </si>
  <si>
    <t>Пројекат "Рехабилитација локалних путних праваца у МЗ Житорађе</t>
  </si>
  <si>
    <t>Пројекат "Реконструкција локалног пута у МЗ Љутеж"</t>
  </si>
  <si>
    <t>Пројекат "Изградња дела Београдске улице</t>
  </si>
  <si>
    <t>Пројекат "Изградња дела Карађорђеве улице</t>
  </si>
  <si>
    <t>Пројекат "Изградња дела  улице Јована Јовановића Змаја</t>
  </si>
  <si>
    <t>Пројекат "реконструкција локалног некатегорисаног пута у МЗ Прекодолце</t>
  </si>
  <si>
    <t>0701-П3</t>
  </si>
  <si>
    <t>0701-П4</t>
  </si>
  <si>
    <t xml:space="preserve">Материјал </t>
  </si>
  <si>
    <t xml:space="preserve">Накнаде за социјалну заштиту из буџета - превоз деце са сметњама у развоју </t>
  </si>
  <si>
    <t xml:space="preserve">Свега за програмску активност 1801-0001                              </t>
  </si>
  <si>
    <r>
      <t xml:space="preserve">Свега за програмску активност 0401-0001                            </t>
    </r>
    <r>
      <rPr>
        <b/>
        <i/>
        <sz val="11"/>
        <color theme="1"/>
        <rFont val="Times New Roman"/>
        <family val="1"/>
        <charset val="238"/>
      </rPr>
      <t xml:space="preserve">извор финансирања 01 - приходи из буџета  </t>
    </r>
    <r>
      <rPr>
        <b/>
        <sz val="11"/>
        <color theme="1"/>
        <rFont val="Times New Roman"/>
        <family val="1"/>
      </rPr>
      <t xml:space="preserve">                   </t>
    </r>
  </si>
  <si>
    <r>
      <t xml:space="preserve">Свега за програмску активност 0401-0005                              </t>
    </r>
    <r>
      <rPr>
        <b/>
        <i/>
        <sz val="11"/>
        <color theme="1"/>
        <rFont val="Times New Roman"/>
        <family val="1"/>
        <charset val="238"/>
      </rPr>
      <t xml:space="preserve">извор финансирања 01 - приходи из буџета </t>
    </r>
  </si>
  <si>
    <r>
      <t xml:space="preserve">Свега за програмску активност 0701-0002                                              </t>
    </r>
    <r>
      <rPr>
        <b/>
        <i/>
        <sz val="11"/>
        <color theme="1"/>
        <rFont val="Times New Roman"/>
        <family val="1"/>
        <charset val="238"/>
      </rPr>
      <t xml:space="preserve">извор фин. 01 - приходи из буџета               </t>
    </r>
  </si>
  <si>
    <r>
      <t xml:space="preserve">Свега за Пројекат 0701-П2                                                                      </t>
    </r>
    <r>
      <rPr>
        <b/>
        <i/>
        <sz val="11"/>
        <color theme="1"/>
        <rFont val="Times New Roman"/>
        <family val="1"/>
        <charset val="238"/>
      </rPr>
      <t xml:space="preserve">извор фин. 13 нераспоређен вишак прихода ранијих година                            </t>
    </r>
  </si>
  <si>
    <r>
      <t xml:space="preserve">Свега за програмску активност 0901-0006                              </t>
    </r>
    <r>
      <rPr>
        <b/>
        <i/>
        <sz val="11"/>
        <color theme="1"/>
        <rFont val="Times New Roman"/>
        <family val="1"/>
        <charset val="238"/>
      </rPr>
      <t xml:space="preserve">извор финан. 01 - приходи из буџета                 </t>
    </r>
  </si>
  <si>
    <r>
      <t xml:space="preserve">Свега за програмску активност 0901-0007                               </t>
    </r>
    <r>
      <rPr>
        <b/>
        <i/>
        <sz val="11"/>
        <color theme="1"/>
        <rFont val="Times New Roman"/>
        <family val="1"/>
        <charset val="238"/>
      </rPr>
      <t xml:space="preserve">извор финан. 01 - приходи из буџета                   </t>
    </r>
  </si>
  <si>
    <r>
      <t xml:space="preserve">Свега за програмску активност 0901-0008                              </t>
    </r>
    <r>
      <rPr>
        <b/>
        <i/>
        <sz val="11"/>
        <color theme="1"/>
        <rFont val="Times New Roman"/>
        <family val="1"/>
        <charset val="238"/>
      </rPr>
      <t xml:space="preserve">извор финан. 01 - приходи из буџета                    </t>
    </r>
    <r>
      <rPr>
        <b/>
        <sz val="11"/>
        <color theme="1"/>
        <rFont val="Times New Roman"/>
        <family val="1"/>
      </rPr>
      <t xml:space="preserve">  </t>
    </r>
  </si>
  <si>
    <r>
      <t xml:space="preserve">Свега за програмску активност 0901-0005                               </t>
    </r>
    <r>
      <rPr>
        <b/>
        <i/>
        <sz val="11"/>
        <color theme="1"/>
        <rFont val="Times New Roman"/>
        <family val="1"/>
        <charset val="238"/>
      </rPr>
      <t xml:space="preserve">извор финансирања 01- приходи из буџета         </t>
    </r>
  </si>
  <si>
    <r>
      <t xml:space="preserve">Свега за Пројекат 0701-П1                                                                </t>
    </r>
    <r>
      <rPr>
        <b/>
        <i/>
        <sz val="11"/>
        <color theme="1"/>
        <rFont val="Times New Roman"/>
        <family val="1"/>
        <charset val="238"/>
      </rPr>
      <t xml:space="preserve">извор фин. 09  примања од продаје нефи. имовине                            </t>
    </r>
  </si>
  <si>
    <t xml:space="preserve">Средства из буџета      </t>
  </si>
  <si>
    <t>МЕСНЕ ЗАЈЕДНИЦЕ</t>
  </si>
  <si>
    <t>ПРОГРАМ 15 - ОПШТЕ УСЛУГЕ ЛОКАЛНЕ САМОУПРАВЕ</t>
  </si>
  <si>
    <t>Социјална заштита некласификована на друг. месту</t>
  </si>
  <si>
    <r>
      <t xml:space="preserve">Свега за Пројекат 0701-П4                                                                                  </t>
    </r>
    <r>
      <rPr>
        <b/>
        <i/>
        <sz val="11"/>
        <color theme="1"/>
        <rFont val="Times New Roman"/>
        <family val="1"/>
        <charset val="238"/>
      </rPr>
      <t xml:space="preserve"> извор финансирања 01 - приходи из буџета                                             </t>
    </r>
  </si>
  <si>
    <t>Структ.         %</t>
  </si>
  <si>
    <t>А. КАПИТАЛНИ ПРОЈЕКТИ</t>
  </si>
  <si>
    <t>Капиталне субвенције јавним нефинансијским предузећима и организацијама</t>
  </si>
  <si>
    <t>- из пренетих прихода из претходне године</t>
  </si>
  <si>
    <t>Б</t>
  </si>
  <si>
    <t>КАПИТАЛНЕ СУБВЕНЦИЈЕ</t>
  </si>
  <si>
    <t>2017</t>
  </si>
  <si>
    <t>4</t>
  </si>
  <si>
    <t>Укупна вредност пројекта</t>
  </si>
  <si>
    <t>Eкспропријацијa  земљишта у појасу индустријске зоне Владичин Хан</t>
  </si>
  <si>
    <t>"Изградња дела Београдске улице"</t>
  </si>
  <si>
    <t>"Изградња водоводне мреже у МЗ Мазараћ и МЗ Манајле</t>
  </si>
  <si>
    <t>"Изградња дела Карађорђеве улице"</t>
  </si>
  <si>
    <t>"Изградња дела  улице Јована Јовановића Змаја"</t>
  </si>
  <si>
    <t>Израда пројекатно техничке документације за изградњу и капитално одржавање саобраћајница</t>
  </si>
  <si>
    <t xml:space="preserve"> "реконструкција локалног некатегорисаног пута у МЗ Прекодолце"</t>
  </si>
  <si>
    <t>"Рехабилитација локалног пута Брестово - Јагњило и реконструкција главног правца Београдске улице"</t>
  </si>
  <si>
    <t>"Рехабилитација локалних путних праваца у МЗ Житорађе"</t>
  </si>
  <si>
    <t>"Реконструкција локалног пута у МЗ Љутеж"</t>
  </si>
  <si>
    <t>Изградња објекта дечјег вртића у Владичином Хану</t>
  </si>
  <si>
    <t>Енергетска ефикасност административне  зграде Општине Владичин Хан</t>
  </si>
  <si>
    <t>Реконструкција      на објекту отвореног базена у Владичином Хану</t>
  </si>
  <si>
    <t>Доградња система фекалне канализације у Месној заједници Полом - Шеварике</t>
  </si>
  <si>
    <t xml:space="preserve"> "Израда пр-тех. документације за изградњу колектора и постројења за пречишћавање отпадних вода за Владичин Хан и Сурдулицу "</t>
  </si>
  <si>
    <t>Износ у динарима по годинима реализације</t>
  </si>
  <si>
    <t xml:space="preserve">План за 2018. </t>
  </si>
  <si>
    <t xml:space="preserve">       Табела 2  -    ПРЕГЛЕД ИЗДАТАКА ЗА КАПИТАЛНЕ ПРОЈЕКТЕ ОПШТИНЕ ВЛАДИЧИН ХАН </t>
  </si>
  <si>
    <t>дотације невладиним организацијама</t>
  </si>
  <si>
    <t>Дотације НВО за реализацију Пројеката Локалног плана акције за децу</t>
  </si>
  <si>
    <r>
      <t xml:space="preserve">Свега за Пројекат 0701-П3                                                                                </t>
    </r>
    <r>
      <rPr>
        <b/>
        <i/>
        <sz val="11"/>
        <color theme="1"/>
        <rFont val="Times New Roman"/>
        <family val="1"/>
        <charset val="238"/>
      </rPr>
      <t xml:space="preserve"> извор фин. 13 нераспоређен вишак прихода ранијих година                     </t>
    </r>
  </si>
  <si>
    <t>-из пренетих прихода претх. године</t>
  </si>
  <si>
    <r>
      <t xml:space="preserve">Свега за програмску активност 2002-0001                            </t>
    </r>
    <r>
      <rPr>
        <b/>
        <i/>
        <sz val="11"/>
        <color theme="1"/>
        <rFont val="Times New Roman"/>
        <family val="1"/>
        <charset val="238"/>
      </rPr>
      <t xml:space="preserve">извор фин. 01 приходи из буџета     </t>
    </r>
    <r>
      <rPr>
        <b/>
        <sz val="11"/>
        <color theme="1"/>
        <rFont val="Times New Roman"/>
        <family val="1"/>
      </rPr>
      <t xml:space="preserve">         </t>
    </r>
  </si>
  <si>
    <t>Накнаде за социјалну заштиту  из буџета</t>
  </si>
  <si>
    <t>- из текућих прихода и примања</t>
  </si>
  <si>
    <t>20</t>
  </si>
  <si>
    <t>79</t>
  </si>
  <si>
    <t>121/1</t>
  </si>
  <si>
    <r>
      <t xml:space="preserve">СВЕГА ГЛАВА 3. РАЗДЕЛА 5.                                               </t>
    </r>
    <r>
      <rPr>
        <b/>
        <i/>
        <sz val="11"/>
        <color theme="1"/>
        <rFont val="Times New Roman"/>
        <family val="1"/>
        <charset val="238"/>
      </rPr>
      <t xml:space="preserve">извор финансирања 01 - приходи из буџета </t>
    </r>
  </si>
  <si>
    <r>
      <t xml:space="preserve">Свега  Раздео  5.  ПРОГРАМ 12                                       </t>
    </r>
    <r>
      <rPr>
        <b/>
        <i/>
        <sz val="11"/>
        <color theme="1"/>
        <rFont val="Times New Roman"/>
        <family val="1"/>
        <charset val="238"/>
      </rPr>
      <t xml:space="preserve">извор финансирања 01 - приходи из буџета            </t>
    </r>
  </si>
  <si>
    <r>
      <t xml:space="preserve">Свега  Раздео  5. - ПРОГРАМ 10                                      </t>
    </r>
    <r>
      <rPr>
        <b/>
        <i/>
        <sz val="11"/>
        <color theme="1"/>
        <rFont val="Times New Roman"/>
        <family val="1"/>
        <charset val="238"/>
      </rPr>
      <t xml:space="preserve">извор фин. 01 приходи из буџета                          </t>
    </r>
  </si>
  <si>
    <t>Свега  Глава 3   Раздела 5 -  програм 13:</t>
  </si>
  <si>
    <t>Свега  Глава 3   Раздела 5 -  програм 4:</t>
  </si>
  <si>
    <t>Свега  Глава 2   Раздела 5 -  програм 14:</t>
  </si>
  <si>
    <t>Свега  Глава 1   Раздела 5  - програм 8:</t>
  </si>
  <si>
    <t>Свега за програмску активност 0602-0002</t>
  </si>
  <si>
    <t>175/1</t>
  </si>
  <si>
    <t>106/1</t>
  </si>
  <si>
    <t>Пројекат "Реконструкција локалног некатегорисаног  пута у МЗ Летовиште</t>
  </si>
  <si>
    <t>132/1</t>
  </si>
  <si>
    <t>132/2</t>
  </si>
  <si>
    <t>Пројекат "Изградња отворених базена у Владичином Хану"</t>
  </si>
  <si>
    <t>Пројекат "Прекогранична сарадња, управљање животном средином у области отпадних вода"</t>
  </si>
  <si>
    <t>102/1</t>
  </si>
  <si>
    <r>
      <t xml:space="preserve">Свега за пројекат 0401-П2                                                       </t>
    </r>
    <r>
      <rPr>
        <b/>
        <i/>
        <sz val="11"/>
        <color theme="1"/>
        <rFont val="Times New Roman"/>
        <family val="1"/>
        <charset val="238"/>
      </rPr>
      <t xml:space="preserve">извор фин. 09 - примања од продаје нефин. Имов. 4,100.000    извор 06 - донације међународних организација   22,900.000  </t>
    </r>
  </si>
  <si>
    <t>0602-П1</t>
  </si>
  <si>
    <t>64/1</t>
  </si>
  <si>
    <t>Пројекат "Управљање јавном имовином у функцији смањења сиромаштва" ЕXCНANGE</t>
  </si>
  <si>
    <r>
      <t xml:space="preserve">Свега за програмску активност 0602-0009                            </t>
    </r>
    <r>
      <rPr>
        <b/>
        <i/>
        <sz val="11"/>
        <color theme="1"/>
        <rFont val="Times New Roman"/>
        <family val="1"/>
        <charset val="238"/>
      </rPr>
      <t>извор финансирања 01 - приходи из буџета</t>
    </r>
  </si>
  <si>
    <r>
      <t xml:space="preserve">Свега за програмску активност 0602-0010                           </t>
    </r>
    <r>
      <rPr>
        <b/>
        <i/>
        <sz val="11"/>
        <color theme="1"/>
        <rFont val="Times New Roman"/>
        <family val="1"/>
        <charset val="238"/>
      </rPr>
      <t>извор финансирања 01 - приходи из буџета</t>
    </r>
  </si>
  <si>
    <t>Субвенције ЈП Водовод</t>
  </si>
  <si>
    <t>Учешће капитала у домаћим нефинансијским предузећ.</t>
  </si>
  <si>
    <t>108/1</t>
  </si>
  <si>
    <t>Пројекат "Изградња тениских терена на УСЦ Куњак" - Владичин Хан</t>
  </si>
  <si>
    <t>132/3</t>
  </si>
  <si>
    <t>132/4</t>
  </si>
  <si>
    <t>5/1</t>
  </si>
  <si>
    <t>32/1</t>
  </si>
  <si>
    <t>32/2</t>
  </si>
  <si>
    <t>Пројекат "Подстицај популационој политици на територији Општине Владичин Хан"</t>
  </si>
  <si>
    <t>32/3</t>
  </si>
  <si>
    <t>Трансфери организацијама обавезног социјалног осигурања</t>
  </si>
  <si>
    <t>зграде и грађевински објекти</t>
  </si>
  <si>
    <t>Капитални добровољни трансфери од физичких и правних лица у корист нивоа општина</t>
  </si>
  <si>
    <t>744251</t>
  </si>
  <si>
    <t>Добровољни трансфери физичких и правних лица</t>
  </si>
  <si>
    <t>32/4</t>
  </si>
  <si>
    <t xml:space="preserve">Текући трансфери средњем образовању                       Гимназија Јован Скерлић       6,500.000                                               Техничка школа                    10,500.000                                             </t>
  </si>
  <si>
    <t xml:space="preserve">Капитални трансфери средњем образовању                       Гимназија Јован Скерлић         1,600.000                                               Техничка школа                      2,900.000                                       </t>
  </si>
  <si>
    <t xml:space="preserve">Текући трансфери основном образовању                       ОШ Бранко Радичевић    11,000.000                                             ОШ Свети Сава              14,000.000                                               ОШ Вук Караџић             7,500.000                                                        ОШ Радомир Путник        5,000.000   </t>
  </si>
  <si>
    <r>
      <t xml:space="preserve">Свега за програмску активност 0901-0003                             </t>
    </r>
    <r>
      <rPr>
        <b/>
        <i/>
        <sz val="11"/>
        <color theme="1"/>
        <rFont val="Times New Roman"/>
        <family val="1"/>
        <charset val="238"/>
      </rPr>
      <t xml:space="preserve">извори финан. 01 - приходи из буџета                      650.000 извори финан. 07 - трансфери других нивоа влас.  4,750.000              </t>
    </r>
  </si>
  <si>
    <r>
      <t xml:space="preserve">Свега за Пројекат 0602-П1                                                </t>
    </r>
    <r>
      <rPr>
        <b/>
        <i/>
        <sz val="11"/>
        <color theme="1"/>
        <rFont val="Times New Roman"/>
        <family val="1"/>
        <charset val="238"/>
      </rPr>
      <t>извор фин. 09 - приходи од продаје неф. имовине - 2,000.000    извор фин. 06 - донације међунар. организац.    18,000.000,00</t>
    </r>
  </si>
  <si>
    <r>
      <t xml:space="preserve">Свега за програмску активност 1301-0001                           </t>
    </r>
    <r>
      <rPr>
        <b/>
        <i/>
        <sz val="11"/>
        <color theme="1"/>
        <rFont val="Times New Roman"/>
        <family val="1"/>
        <charset val="238"/>
      </rPr>
      <t xml:space="preserve"> извор финансирања 01 - приходи из буџета    </t>
    </r>
  </si>
  <si>
    <r>
      <t xml:space="preserve">Свега за програмску активност 1301-0005                       </t>
    </r>
    <r>
      <rPr>
        <b/>
        <i/>
        <sz val="11"/>
        <color theme="1"/>
        <rFont val="Times New Roman"/>
        <family val="1"/>
        <charset val="238"/>
      </rPr>
      <t xml:space="preserve">    извор фин. 01 - приходи буџета Општине</t>
    </r>
  </si>
  <si>
    <t>Капитални трансфери основном образовању                       ОШ Бранко Радичевић         1,100.000                                               ОШ Свети Сава                    3,700.000                                                   ОШ Вук Караџић                    600.000                                                    ОШ Радомир Путник               200.000</t>
  </si>
  <si>
    <t>добровољни трансфери физичики и правних лица</t>
  </si>
  <si>
    <t>ИЗДАЦИ ЗА ОТПЛАТУ ГЛАВНИЦЕ И ОТПЛАТУ НЕФИНАНСИЈСКЕ ИМОВИНЕ</t>
  </si>
  <si>
    <t>Набавка домаће финансијске имовине</t>
  </si>
  <si>
    <t>Подстицај популационој политици на територији Општ.</t>
  </si>
  <si>
    <t>Управљање јавном имовином у функцији смањења сиромаштва</t>
  </si>
  <si>
    <r>
      <t xml:space="preserve">Свега   Раздео  5 -  ПРОГРАМ 8:                                      </t>
    </r>
    <r>
      <rPr>
        <b/>
        <i/>
        <sz val="11"/>
        <color theme="1"/>
        <rFont val="Times New Roman"/>
        <family val="1"/>
        <charset val="238"/>
      </rPr>
      <t>извор фин. 13 -нер. вишак прихода из ран.година- 16,400.000 извор фин. 07 - трансфери других нивоа власти</t>
    </r>
    <r>
      <rPr>
        <b/>
        <sz val="11"/>
        <color theme="1"/>
        <rFont val="Times New Roman"/>
        <family val="1"/>
      </rPr>
      <t xml:space="preserve">  </t>
    </r>
    <r>
      <rPr>
        <b/>
        <i/>
        <sz val="11"/>
        <color theme="1"/>
        <rFont val="Times New Roman"/>
        <family val="1"/>
        <charset val="238"/>
      </rPr>
      <t>- 1,700.000</t>
    </r>
  </si>
  <si>
    <r>
      <t xml:space="preserve">Свега за програмску активност 0401-0004                              </t>
    </r>
    <r>
      <rPr>
        <b/>
        <i/>
        <sz val="11"/>
        <color theme="1"/>
        <rFont val="Times New Roman"/>
        <family val="1"/>
        <charset val="238"/>
      </rPr>
      <t>извор финансирања 01 - приходи из буџета            800.000 извор фин. 09 -примања од продаје неф. имов.     4,000.000</t>
    </r>
  </si>
  <si>
    <t xml:space="preserve">Свега за програмску активност 0101-0001                            </t>
  </si>
  <si>
    <r>
      <t xml:space="preserve">Свега за пројекат 1501 - П1                                                                                   </t>
    </r>
    <r>
      <rPr>
        <b/>
        <i/>
        <sz val="11"/>
        <color theme="1"/>
        <rFont val="Times New Roman"/>
        <family val="1"/>
        <charset val="238"/>
      </rPr>
      <t>Извор фин. 09 - примања од продаје неф. имовине</t>
    </r>
    <r>
      <rPr>
        <b/>
        <sz val="11"/>
        <color theme="1"/>
        <rFont val="Times New Roman"/>
        <family val="1"/>
      </rPr>
      <t xml:space="preserve">   </t>
    </r>
  </si>
  <si>
    <t>ПЛАНСКИ ИЗНОС ИЗВОРА ФИНАНСИРАЊА</t>
  </si>
  <si>
    <t>РАЗЛИКА</t>
  </si>
  <si>
    <r>
      <t xml:space="preserve">Свега за програмску активност 1102-0003                        </t>
    </r>
    <r>
      <rPr>
        <b/>
        <i/>
        <sz val="11"/>
        <color theme="1"/>
        <rFont val="Times New Roman"/>
        <family val="1"/>
        <charset val="238"/>
      </rPr>
      <t xml:space="preserve">извор финансирања 01 - приходи из буџета                                    </t>
    </r>
  </si>
  <si>
    <r>
      <t xml:space="preserve">СВЕГА ГЛАВА 4. РАЗДЕЛА 5.                                                </t>
    </r>
    <r>
      <rPr>
        <b/>
        <i/>
        <sz val="11"/>
        <color theme="1"/>
        <rFont val="Times New Roman"/>
        <family val="1"/>
        <charset val="238"/>
      </rPr>
      <t xml:space="preserve">извор финансирања 01 - приходи из буџета </t>
    </r>
  </si>
  <si>
    <t>Израда плана детаљне регулације за саобраћајну петљу у МЗ Грамађе</t>
  </si>
  <si>
    <t>- из добровољних трансфера правних лица</t>
  </si>
  <si>
    <t>Проширење система видео надзора у саобраћају на територији Општине</t>
  </si>
  <si>
    <t>Пројекат "Реконструкција локалног пута у МЗ Летовиште"</t>
  </si>
  <si>
    <t>Изградња тениских терена на УСЦ Куњак  у Владичином Хану</t>
  </si>
  <si>
    <t>Пројекат управљања квалитетом животне средине у области отпадних вода</t>
  </si>
  <si>
    <t>- из донација међународних организација</t>
  </si>
  <si>
    <t xml:space="preserve">- из текућих прихода и примања </t>
  </si>
  <si>
    <r>
      <t xml:space="preserve">Свега за Пројекат 0701-П5                                                                                        </t>
    </r>
    <r>
      <rPr>
        <b/>
        <i/>
        <sz val="11"/>
        <color theme="1"/>
        <rFont val="Times New Roman"/>
        <family val="1"/>
        <charset val="238"/>
      </rPr>
      <t>извор фин. 13 -нер. вишак прихода из ран.година- 2,050.000                             извор фин. 07 - трансфери других нивоа власти- 5,500.000</t>
    </r>
  </si>
  <si>
    <t xml:space="preserve">Свега за пројекат 1301-П1                                               </t>
  </si>
  <si>
    <r>
      <t xml:space="preserve">Свега за Пројекат 0701-П8                                                                            </t>
    </r>
    <r>
      <rPr>
        <b/>
        <i/>
        <sz val="11"/>
        <color theme="1"/>
        <rFont val="Times New Roman"/>
        <family val="1"/>
        <charset val="238"/>
      </rPr>
      <t xml:space="preserve">                             извор финансирања 09 примања од прод.неф.им.         </t>
    </r>
  </si>
  <si>
    <r>
      <t xml:space="preserve">Свега за пројекат 1102-0008-П1                                           </t>
    </r>
    <r>
      <rPr>
        <b/>
        <i/>
        <sz val="11"/>
        <color theme="1"/>
        <rFont val="Times New Roman"/>
        <family val="1"/>
        <charset val="238"/>
      </rPr>
      <t>извор фин. 13 - нераспр. вишак прихода из ран. год.2,600.000 извор фин. 07 - трансфери других нивоа власти   - 2,000.000</t>
    </r>
  </si>
  <si>
    <r>
      <t xml:space="preserve">Свега за програмску активност 1501-0001                           </t>
    </r>
    <r>
      <rPr>
        <b/>
        <i/>
        <sz val="11"/>
        <color theme="1"/>
        <rFont val="Times New Roman"/>
        <family val="1"/>
        <charset val="238"/>
      </rPr>
      <t xml:space="preserve">извор фин. 01 - приходи из буџета                          3,830.000 извор фин.13 -пренети приходи претх. године       3,000.000  </t>
    </r>
  </si>
  <si>
    <t>121/2</t>
  </si>
  <si>
    <r>
      <t xml:space="preserve">Свега за Пројекат 0901-П1                                                                </t>
    </r>
    <r>
      <rPr>
        <b/>
        <i/>
        <sz val="11"/>
        <color theme="1"/>
        <rFont val="Times New Roman"/>
        <family val="1"/>
        <charset val="238"/>
      </rPr>
      <t xml:space="preserve">извор фин. 07  трансфери других нивоа власти    13,640.000  извор фин. 09 примања од продаје имовине            6,800.000                           </t>
    </r>
  </si>
  <si>
    <t>машине и опрема</t>
  </si>
  <si>
    <t>32/5</t>
  </si>
  <si>
    <t>Накнаде за соц. Заш. из буџета - Стипендије и награде</t>
  </si>
  <si>
    <r>
      <t xml:space="preserve">Свега за пројекат  2002-П1                                                      </t>
    </r>
    <r>
      <rPr>
        <b/>
        <i/>
        <sz val="11"/>
        <color theme="1"/>
        <rFont val="Times New Roman"/>
        <family val="1"/>
        <charset val="238"/>
      </rPr>
      <t>извор фин. 01 приходи из буџета                         -  2,300.000  извор фин. 07 трансфери других нивоа власти  - 117,200.000</t>
    </r>
  </si>
  <si>
    <r>
      <t xml:space="preserve">Свега за пројекат 1301-П2                                               </t>
    </r>
    <r>
      <rPr>
        <b/>
        <i/>
        <sz val="11"/>
        <color theme="1"/>
        <rFont val="Times New Roman"/>
        <family val="1"/>
        <charset val="238"/>
      </rPr>
      <t>извор фин. 01 - приходи буџета Општине           1,800.000    извор фин. 07 - трансфери других нивоа власти- 5,100.000</t>
    </r>
  </si>
  <si>
    <r>
      <t xml:space="preserve">Свега за програмску активност 0901-0001                              </t>
    </r>
    <r>
      <rPr>
        <b/>
        <i/>
        <sz val="11"/>
        <color theme="1"/>
        <rFont val="Times New Roman"/>
        <family val="1"/>
        <charset val="238"/>
      </rPr>
      <t xml:space="preserve">извори финан. 01 - приходи из буџета                    13,900.000   извори финан. 06 - донације међ.организација         6,000.000 </t>
    </r>
    <r>
      <rPr>
        <b/>
        <sz val="11"/>
        <color theme="1"/>
        <rFont val="Times New Roman"/>
        <family val="1"/>
      </rPr>
      <t xml:space="preserve">    </t>
    </r>
  </si>
  <si>
    <r>
      <t xml:space="preserve">Свега   Раздео 5  - ПРОГРАМ 11:                                     </t>
    </r>
    <r>
      <rPr>
        <b/>
        <i/>
        <sz val="11"/>
        <color theme="1"/>
        <rFont val="Times New Roman"/>
        <family val="1"/>
        <charset val="238"/>
      </rPr>
      <t xml:space="preserve">извор финан. 01 - приходи из буџета                    33,520.000   извор финан. 06 - донације међ.организација          6,000.000     извор финан. 07 - трансфери других нивоа вл.      18,390.000   извор фин.09 - примања од продаје нефин. имов.   6,800.000      </t>
    </r>
  </si>
  <si>
    <r>
      <t xml:space="preserve">Свега   Раздео 5 -  ПРОГРАМ 1:                                   </t>
    </r>
    <r>
      <rPr>
        <b/>
        <i/>
        <sz val="11"/>
        <color theme="1"/>
        <rFont val="Times New Roman"/>
        <family val="1"/>
        <charset val="238"/>
      </rPr>
      <t xml:space="preserve">    извор фин. 13 - нерасп. вишак прихода ран. година 4.120,000  извор фин. 8 - добровољни тран. Физ. и прав. лица 3,580.000</t>
    </r>
  </si>
  <si>
    <r>
      <t xml:space="preserve">Свега за пројекат 0401-П1                                                       </t>
    </r>
    <r>
      <rPr>
        <b/>
        <i/>
        <sz val="11"/>
        <color theme="1"/>
        <rFont val="Times New Roman"/>
        <family val="1"/>
        <charset val="238"/>
      </rPr>
      <t>извор фин. 09 -примања од продаје неф. Имов</t>
    </r>
  </si>
  <si>
    <t>116/1</t>
  </si>
  <si>
    <r>
      <t xml:space="preserve">Свега за програмску активност 1501-0002                           </t>
    </r>
    <r>
      <rPr>
        <b/>
        <i/>
        <sz val="11"/>
        <color theme="1"/>
        <rFont val="Times New Roman"/>
        <family val="1"/>
        <charset val="238"/>
      </rPr>
      <t xml:space="preserve"> извор фин.13 -пренети приходи претх. године     8,000.000                 извор фин. 07- трансфери других нивоа власти   11,100.000   извор 06 - донације међународних организација    10,000.000 извор фин. 09 - примања од продаје неф. имов.       1,500.000        </t>
    </r>
    <r>
      <rPr>
        <b/>
        <sz val="11"/>
        <color theme="1"/>
        <rFont val="Times New Roman"/>
        <family val="1"/>
      </rPr>
      <t xml:space="preserve">        </t>
    </r>
  </si>
  <si>
    <r>
      <t>Свега за програмску активност 1201-0003                            и</t>
    </r>
    <r>
      <rPr>
        <b/>
        <i/>
        <sz val="11"/>
        <color theme="1"/>
        <rFont val="Times New Roman"/>
        <family val="1"/>
        <charset val="238"/>
      </rPr>
      <t xml:space="preserve">звор финан, 01 - приходи из буџета                   2,000.000     извор финан, 13 - пренети приходих прет. год     1,500.000   </t>
    </r>
    <r>
      <rPr>
        <b/>
        <sz val="11"/>
        <color theme="1"/>
        <rFont val="Times New Roman"/>
        <family val="1"/>
      </rPr>
      <t xml:space="preserve"> </t>
    </r>
  </si>
  <si>
    <r>
      <t xml:space="preserve">Свега за програмску активност 1201-0004                            </t>
    </r>
    <r>
      <rPr>
        <b/>
        <i/>
        <sz val="11"/>
        <color theme="1"/>
        <rFont val="Times New Roman"/>
        <family val="1"/>
        <charset val="238"/>
      </rPr>
      <t xml:space="preserve">извор финан, 01 - приходи из буџета </t>
    </r>
  </si>
  <si>
    <r>
      <t xml:space="preserve">Свега  Раздео  5.  ПРОГРАМ 13                                       </t>
    </r>
    <r>
      <rPr>
        <b/>
        <i/>
        <sz val="11"/>
        <color theme="1"/>
        <rFont val="Times New Roman"/>
        <family val="1"/>
        <charset val="238"/>
      </rPr>
      <t xml:space="preserve">извор финансирања 01 - приходи из буџета        5,000.000,00  извор финан, 13 - пренети приходих прет. год  1,500.000,00      </t>
    </r>
  </si>
  <si>
    <r>
      <t xml:space="preserve">Свега за програмску активност 1102-0008                         </t>
    </r>
    <r>
      <rPr>
        <b/>
        <i/>
        <sz val="11"/>
        <color theme="1"/>
        <rFont val="Times New Roman"/>
        <family val="1"/>
        <charset val="238"/>
      </rPr>
      <t xml:space="preserve">извор финансирања 01 - приходи из буџета         2.000.000    извор фин. 13 - нерасп. Вишак прихода из р. год  21,200.000                              </t>
    </r>
  </si>
  <si>
    <r>
      <t xml:space="preserve">Свега за програмску активност 1102-0001                        </t>
    </r>
    <r>
      <rPr>
        <b/>
        <i/>
        <sz val="11"/>
        <color theme="1"/>
        <rFont val="Times New Roman"/>
        <family val="1"/>
        <charset val="238"/>
      </rPr>
      <t xml:space="preserve">извор финансирања 01 - приходи из буџета          25,250.000                     извор фин. 09 - примања од продаје нефин. имов. 1,100.000   </t>
    </r>
  </si>
  <si>
    <r>
      <t xml:space="preserve">Свега   Раздео 5 -  ПРОГРАМ 2:                                      </t>
    </r>
    <r>
      <rPr>
        <b/>
        <i/>
        <sz val="11"/>
        <color theme="1"/>
        <rFont val="Times New Roman"/>
        <family val="1"/>
        <charset val="238"/>
      </rPr>
      <t>извор фин. 01 - приходи из буџета                       74.370.000                     извор фин. 07- трансфери других нивоа власти    2,000.000  извор фин. 13-нер.вишак прихода прет. година   23,800.000  извор фин. 09 - примања од продаје неф.имов.     1.100.000</t>
    </r>
  </si>
  <si>
    <t>76/1</t>
  </si>
  <si>
    <t xml:space="preserve">Текући трансфери средњем образовању                       Гимназија Јован Скерлић         7,000.000                                               Техничка школа                    11,000.000                                             </t>
  </si>
  <si>
    <r>
      <t xml:space="preserve">Свега  Раздео 5.  ПРОГРАМ 17                                        </t>
    </r>
    <r>
      <rPr>
        <b/>
        <i/>
        <sz val="11"/>
        <color theme="1"/>
        <rFont val="Times New Roman"/>
        <family val="1"/>
        <charset val="238"/>
      </rPr>
      <t>извор фин.09 - примања од продаје нефин. имов. 5,200.000                  извор фин. 07 - трансфери других нивоа власти 17,000.000</t>
    </r>
  </si>
  <si>
    <r>
      <t xml:space="preserve">Свега за Пројекат 0701-П7                                                  </t>
    </r>
    <r>
      <rPr>
        <b/>
        <i/>
        <sz val="11"/>
        <color theme="1"/>
        <rFont val="Times New Roman"/>
        <family val="1"/>
        <charset val="238"/>
      </rPr>
      <t xml:space="preserve">извор фин. 09  примања од продаје нефи. имовине 12.000.000          извор фин. 13  пренети приходи прет. године       10,000.000 </t>
    </r>
  </si>
  <si>
    <r>
      <t xml:space="preserve">Свега  Раздео 5 -  ПРОГРАМ 3:                                        </t>
    </r>
    <r>
      <rPr>
        <b/>
        <i/>
        <sz val="11"/>
        <color theme="1"/>
        <rFont val="Times New Roman"/>
        <family val="1"/>
        <charset val="238"/>
      </rPr>
      <t>извор фин. 01 - приходи из буџета                          3.830.000          извор фин. 09 - примања од продаје неф. имов.       5,150.000            извор фин. 07 - трансфери др. нивоа власти        11,100.000   извор фин. 06 - донације међународних орг.           10,000.000    извор фин.13 -пренети приходи претх. године     11,000.000</t>
    </r>
  </si>
  <si>
    <r>
      <t xml:space="preserve">Свега  Раздео  5.  ПРОГРАМ 14                                       </t>
    </r>
    <r>
      <rPr>
        <b/>
        <i/>
        <sz val="11"/>
        <color theme="1"/>
        <rFont val="Times New Roman"/>
        <family val="1"/>
        <charset val="238"/>
      </rPr>
      <t xml:space="preserve">извор финан, 01 - приходи из буџета           25,500.000     извор финан, 07 - тран. др.нивоа власти     5,100.000       </t>
    </r>
  </si>
  <si>
    <r>
      <t xml:space="preserve">Текући трансфери основном образовању                       ОШ Бранко Радичевић    11,000.000                                             ОШ Свети Сава              </t>
    </r>
    <r>
      <rPr>
        <b/>
        <sz val="11"/>
        <rFont val="Times New Roman"/>
        <family val="1"/>
        <charset val="238"/>
      </rPr>
      <t xml:space="preserve">15,000.000          </t>
    </r>
    <r>
      <rPr>
        <sz val="11"/>
        <rFont val="Times New Roman"/>
        <family val="1"/>
      </rPr>
      <t xml:space="preserve">                                     ОШ Вук Караџић             7,500.000                                                        ОШ Радомир Путник        5,000.000   </t>
    </r>
  </si>
  <si>
    <r>
      <t xml:space="preserve">Капитални трансфери основном образовању                       ОШ Бранко Радичевић         1,100.000                                               ОШ Свети Сава                   </t>
    </r>
    <r>
      <rPr>
        <b/>
        <sz val="11"/>
        <rFont val="Times New Roman"/>
        <family val="1"/>
        <charset val="238"/>
      </rPr>
      <t>4,100.000</t>
    </r>
    <r>
      <rPr>
        <sz val="11"/>
        <rFont val="Times New Roman"/>
        <family val="1"/>
      </rPr>
      <t xml:space="preserve">                                                   ОШ Вук Караџић                    600.000                                                    ОШ Радомир Путник               200.000</t>
    </r>
  </si>
  <si>
    <r>
      <t xml:space="preserve">Свега  Раздео 5. ПРОГРАМ   9                                          </t>
    </r>
    <r>
      <rPr>
        <b/>
        <i/>
        <sz val="11"/>
        <color theme="1"/>
        <rFont val="Times New Roman"/>
        <family val="1"/>
        <charset val="238"/>
      </rPr>
      <t>извор фин. 01 приходи из буџета                        -  46,800.000  извор фин. 07 трансфери других нивоа власти  - 117.200.000</t>
    </r>
  </si>
  <si>
    <r>
      <t xml:space="preserve">СВЕГА ГЛАВА 1. РАЗДЕЛА 5.                                                </t>
    </r>
    <r>
      <rPr>
        <b/>
        <i/>
        <sz val="11"/>
        <color theme="1"/>
        <rFont val="Times New Roman"/>
        <family val="1"/>
        <charset val="238"/>
      </rPr>
      <t xml:space="preserve">извор фин. 01 - приходи из буџета ..........….. 48.850.000,00               извор фин. 07-трансфери др. нивоа власти ....8,400.000,00     извро фин. 09-приходи од продаје неф. имов.   2,500.000,00                    </t>
    </r>
  </si>
  <si>
    <r>
      <t xml:space="preserve">Свега   Раздео  5 -  ПРОГРАМ  7:                                              </t>
    </r>
    <r>
      <rPr>
        <b/>
        <i/>
        <sz val="11"/>
        <color theme="1"/>
        <rFont val="Times New Roman"/>
        <family val="1"/>
        <charset val="238"/>
      </rPr>
      <t>извор финансирања. 01     -                              41.900.000,00                           извор финансирања  07     -                               5,500.000,00                                               извор финансирања 09     -                               37,000.000,00                                      извор финансирања 13      -                              25,200.000,00</t>
    </r>
  </si>
  <si>
    <r>
      <t xml:space="preserve">СВЕГА ГЛАВА 2. РАЗДЕЛА 5.                                                </t>
    </r>
    <r>
      <rPr>
        <b/>
        <i/>
        <sz val="11"/>
        <color theme="1"/>
        <rFont val="Times New Roman"/>
        <family val="1"/>
        <charset val="238"/>
      </rPr>
      <t xml:space="preserve">извор финансирања 01 - приходи из буџета           31.960.000        извор финансирања 04 - сопствени приходи кор.   25.500.000 </t>
    </r>
  </si>
  <si>
    <t>ЈАВНО ПРАВОБРАНИЛАШТВО ОПШТИНЕ ВЛАДИЧИН ХАН</t>
  </si>
  <si>
    <r>
      <t xml:space="preserve">Свега  Раздео 5.  - ПРОГРАМ 6:                                              </t>
    </r>
    <r>
      <rPr>
        <b/>
        <i/>
        <sz val="11"/>
        <color theme="1"/>
        <rFont val="Times New Roman"/>
        <family val="1"/>
        <charset val="238"/>
      </rPr>
      <t xml:space="preserve">извор финансирања 01 - приходи из буџета          17,930.000   извор 06 - донације међународних организација    22,900.000  извор фин. 09 - примања од продјане н.им.            20,100.000                                   </t>
    </r>
  </si>
  <si>
    <r>
      <t xml:space="preserve">Свега  Раздео 5 -  ПРОГРАМ 15:                                      </t>
    </r>
    <r>
      <rPr>
        <b/>
        <i/>
        <sz val="11"/>
        <color theme="1"/>
        <rFont val="Times New Roman"/>
        <family val="1"/>
        <charset val="238"/>
      </rPr>
      <t>извор финансирања 01 - приходи из буџета       147.350.000  извор фин. 06 - донације међунар. Органи.           18.000.000                         извор фин. 09 - примања од продаје нефин. имов. 8,800.000</t>
    </r>
  </si>
  <si>
    <r>
      <t xml:space="preserve">СВЕГА  РАЗДЕО 5.      ОПШТИНСКА УПРАВА                                         </t>
    </r>
    <r>
      <rPr>
        <b/>
        <i/>
        <sz val="11"/>
        <color theme="1"/>
        <rFont val="Times New Roman"/>
        <family val="1"/>
        <charset val="238"/>
      </rPr>
      <t>извор фин. 01- приходи из буџета                         438,970.000 извор фин. 06 - донације међународних орг.           57,900.000                     извор фин. 07 - трансфери других нивоа власти  177,990.000  извор фин. 08 - добровољни трансфери                   3,580.000 извор фин. 09 -примања од продаје неф. им.          95,800.000                         извор фин. 13 - нерасп. вишак прихода ран.год.     91,000.000</t>
    </r>
  </si>
  <si>
    <r>
      <t xml:space="preserve">Свега за Пројекат 0701-П6                                                                                            </t>
    </r>
    <r>
      <rPr>
        <b/>
        <i/>
        <sz val="11"/>
        <color theme="1"/>
        <rFont val="Times New Roman"/>
        <family val="1"/>
        <charset val="238"/>
      </rPr>
      <t xml:space="preserve"> извор фин. 13- нераспоређен вишак прихода пр. године                                        </t>
    </r>
  </si>
  <si>
    <t>116/2</t>
  </si>
  <si>
    <t>Проширење капацитета централног објекта вртића</t>
  </si>
  <si>
    <r>
      <t xml:space="preserve">Свега за програмску активност 0602-0001                              </t>
    </r>
    <r>
      <rPr>
        <b/>
        <i/>
        <sz val="11"/>
        <color theme="1"/>
        <rFont val="Times New Roman"/>
        <family val="1"/>
        <charset val="238"/>
      </rPr>
      <t xml:space="preserve">извор финансирања 01 - приходи из буџета       119.850.000    извор. Фин. 09 - примања од продаје имовине      6.800.000  </t>
    </r>
  </si>
  <si>
    <r>
      <t xml:space="preserve">Свега   Раздео  5 -  ПРОГРАМ 5:                                     </t>
    </r>
    <r>
      <rPr>
        <b/>
        <i/>
        <sz val="11"/>
        <color theme="1"/>
        <rFont val="Times New Roman"/>
        <family val="1"/>
        <charset val="238"/>
      </rPr>
      <t>извор фин. 01 - приходи из буџета                        6,270.000     извор фин. 09 -примања од продаје нефин. имови. 11,650.000             извор фин. 13 - пренети приходи пр .године           8,980.000        извор фин. 06 - донације од међун. организација     1,000.000</t>
    </r>
  </si>
  <si>
    <r>
      <t xml:space="preserve">Свега за програмску активност 0701-0001                                         </t>
    </r>
    <r>
      <rPr>
        <b/>
        <i/>
        <sz val="11"/>
        <color theme="1"/>
        <rFont val="Times New Roman"/>
        <family val="1"/>
        <charset val="238"/>
      </rPr>
      <t xml:space="preserve">извор фин. 01 - приходи из буџета                        8,000.000   извор фин. 09 -примања од продаје нефин. имови. 3,400.000              </t>
    </r>
  </si>
  <si>
    <t>7 + 8 + 3</t>
  </si>
  <si>
    <t>(7+8+3) - (4+5)</t>
  </si>
  <si>
    <t>((7+8+3) - (4+5)) - 62</t>
  </si>
  <si>
    <t>(((7+8+3) - (4+5)) - 62) + ((91+92)-(6211+61))</t>
  </si>
  <si>
    <t>(91+92) - (61+6211)</t>
  </si>
</sst>
</file>

<file path=xl/styles.xml><?xml version="1.0" encoding="utf-8"?>
<styleSheet xmlns="http://schemas.openxmlformats.org/spreadsheetml/2006/main">
  <numFmts count="7">
    <numFmt numFmtId="164" formatCode="_-* #,##0.00\ _D_i_n_._-;\-* #,##0.00\ _D_i_n_._-;_-* &quot;-&quot;??\ _D_i_n_._-;_-@_-"/>
    <numFmt numFmtId="165" formatCode="_-* #,##0\ _d_i_n_._-;\-* #,##0\ _d_i_n_._-;_-* &quot;-&quot;\ _d_i_n_._-;_-@_-"/>
    <numFmt numFmtId="166" formatCode="_-* #,##0.00\ _d_i_n_._-;\-* #,##0.00\ _d_i_n_._-;_-* &quot;-&quot;??\ _d_i_n_._-;_-@_-"/>
    <numFmt numFmtId="167" formatCode="_(* #,##0.00_);_(* \(#,##0.00\);_(* \-??_);_(@_)"/>
    <numFmt numFmtId="168" formatCode="_(* #,##0_);_(* \(#,##0\);_(* \-_);_(@_)"/>
    <numFmt numFmtId="169" formatCode="0.0%"/>
    <numFmt numFmtId="170" formatCode="_-* #,##0.00\ _D_i_n_._-;\-* #,##0.00\ _D_i_n_._-;_-* \-??\ _D_i_n_._-;_-@_-"/>
  </numFmts>
  <fonts count="81">
    <font>
      <sz val="11"/>
      <color theme="1"/>
      <name val="Calibri"/>
      <family val="2"/>
      <charset val="238"/>
      <scheme val="minor"/>
    </font>
    <font>
      <b/>
      <sz val="12"/>
      <name val="Times New Roman"/>
      <family val="1"/>
      <charset val="238"/>
    </font>
    <font>
      <sz val="12"/>
      <name val="Times New Roman"/>
      <family val="1"/>
      <charset val="238"/>
    </font>
    <font>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1"/>
      <name val="Times New Roman"/>
      <family val="1"/>
      <charset val="238"/>
    </font>
    <font>
      <b/>
      <sz val="11"/>
      <name val="Times New Roman"/>
      <family val="1"/>
      <charset val="238"/>
    </font>
    <font>
      <sz val="11"/>
      <name val="Times New Roman"/>
      <family val="1"/>
    </font>
    <font>
      <sz val="11"/>
      <color theme="1"/>
      <name val="Calibri"/>
      <family val="2"/>
      <scheme val="minor"/>
    </font>
    <font>
      <sz val="9"/>
      <color rgb="FF000000"/>
      <name val="Times New Roman Bold"/>
    </font>
    <font>
      <sz val="9"/>
      <color rgb="FF000000"/>
      <name val="Times New Roman Italic"/>
    </font>
    <font>
      <sz val="7"/>
      <color rgb="FF000000"/>
      <name val="Times New Roman Italic"/>
    </font>
    <font>
      <sz val="9"/>
      <color rgb="FF000000"/>
      <name val="Times New Roman"/>
      <family val="1"/>
    </font>
    <font>
      <b/>
      <sz val="14"/>
      <color theme="1"/>
      <name val="Calibri"/>
      <family val="2"/>
      <scheme val="minor"/>
    </font>
    <font>
      <sz val="11"/>
      <color theme="1"/>
      <name val="Calibri"/>
      <family val="2"/>
      <charset val="238"/>
      <scheme val="minor"/>
    </font>
    <font>
      <b/>
      <sz val="11"/>
      <color theme="1"/>
      <name val="Calibri"/>
      <family val="2"/>
      <scheme val="minor"/>
    </font>
    <font>
      <i/>
      <sz val="11"/>
      <color theme="1"/>
      <name val="Calibri"/>
      <family val="2"/>
      <scheme val="minor"/>
    </font>
    <font>
      <sz val="10"/>
      <color indexed="8"/>
      <name val="Calibri"/>
      <family val="2"/>
    </font>
    <font>
      <b/>
      <sz val="8"/>
      <color indexed="8"/>
      <name val="Tahoma"/>
      <family val="2"/>
      <charset val="204"/>
    </font>
    <font>
      <sz val="8"/>
      <color indexed="8"/>
      <name val="Tahoma"/>
      <family val="2"/>
      <charset val="204"/>
    </font>
    <font>
      <sz val="9"/>
      <color indexed="81"/>
      <name val="Tahoma"/>
      <family val="2"/>
    </font>
    <font>
      <b/>
      <sz val="9"/>
      <color indexed="81"/>
      <name val="Tahoma"/>
      <family val="2"/>
    </font>
    <font>
      <sz val="10"/>
      <name val="Arial"/>
      <family val="2"/>
      <charset val="238"/>
    </font>
    <font>
      <sz val="11"/>
      <color indexed="8"/>
      <name val="Times New Roman"/>
      <family val="1"/>
      <charset val="238"/>
    </font>
    <font>
      <b/>
      <sz val="11"/>
      <name val="Times New Roman"/>
      <family val="1"/>
    </font>
    <font>
      <b/>
      <sz val="9"/>
      <name val="Times New Roman"/>
      <family val="1"/>
    </font>
    <font>
      <sz val="8"/>
      <name val="Times New Roman"/>
      <family val="1"/>
    </font>
    <font>
      <b/>
      <sz val="10"/>
      <name val="Times New Roman"/>
      <family val="1"/>
    </font>
    <font>
      <b/>
      <sz val="8"/>
      <name val="Times New Roman"/>
      <family val="1"/>
    </font>
    <font>
      <sz val="11"/>
      <color theme="1"/>
      <name val="Times New Roman"/>
      <family val="1"/>
    </font>
    <font>
      <b/>
      <sz val="11"/>
      <color theme="1"/>
      <name val="Times New Roman"/>
      <family val="1"/>
    </font>
    <font>
      <i/>
      <sz val="10"/>
      <color indexed="8"/>
      <name val="Times New Roman"/>
      <family val="1"/>
    </font>
    <font>
      <b/>
      <sz val="10"/>
      <color indexed="8"/>
      <name val="Times New Roman"/>
      <family val="1"/>
    </font>
    <font>
      <sz val="10"/>
      <color indexed="8"/>
      <name val="Times New Roman"/>
      <family val="1"/>
    </font>
    <font>
      <sz val="10"/>
      <color theme="1"/>
      <name val="Times New Roman"/>
      <family val="1"/>
    </font>
    <font>
      <b/>
      <sz val="8"/>
      <color indexed="8"/>
      <name val="Times New Roman"/>
      <family val="1"/>
    </font>
    <font>
      <sz val="8"/>
      <color indexed="8"/>
      <name val="Times New Roman"/>
      <family val="1"/>
    </font>
    <font>
      <sz val="8"/>
      <color theme="1"/>
      <name val="Times New Roman"/>
      <family val="1"/>
    </font>
    <font>
      <b/>
      <sz val="12"/>
      <name val="Times New Roman"/>
      <family val="1"/>
    </font>
    <font>
      <sz val="12"/>
      <name val="Times New Roman"/>
      <family val="1"/>
    </font>
    <font>
      <sz val="9"/>
      <name val="Times New Roman"/>
      <family val="1"/>
    </font>
    <font>
      <i/>
      <sz val="11"/>
      <color theme="1"/>
      <name val="Times New Roman"/>
      <family val="1"/>
    </font>
    <font>
      <i/>
      <sz val="11"/>
      <name val="Times New Roman"/>
      <family val="1"/>
    </font>
    <font>
      <sz val="11"/>
      <color rgb="FFFF0000"/>
      <name val="Times New Roman"/>
      <family val="1"/>
    </font>
    <font>
      <b/>
      <sz val="10"/>
      <color theme="1"/>
      <name val="Times New Roman"/>
      <family val="1"/>
    </font>
    <font>
      <b/>
      <i/>
      <sz val="11"/>
      <color theme="1"/>
      <name val="Times New Roman"/>
      <family val="1"/>
    </font>
    <font>
      <b/>
      <sz val="12"/>
      <color theme="1"/>
      <name val="Times New Roman"/>
      <family val="1"/>
    </font>
    <font>
      <sz val="8"/>
      <color indexed="81"/>
      <name val="Tahoma"/>
      <family val="2"/>
    </font>
    <font>
      <b/>
      <sz val="8"/>
      <color indexed="81"/>
      <name val="Tahoma"/>
      <family val="2"/>
    </font>
    <font>
      <sz val="11"/>
      <color theme="1"/>
      <name val="Times New Roman"/>
      <family val="1"/>
      <charset val="238"/>
    </font>
    <font>
      <b/>
      <u/>
      <sz val="12"/>
      <name val="Times New Roman"/>
      <family val="1"/>
    </font>
    <font>
      <sz val="9"/>
      <color theme="1"/>
      <name val="Times New Roman"/>
      <family val="1"/>
    </font>
    <font>
      <b/>
      <sz val="12"/>
      <color theme="1"/>
      <name val="Times New Roman"/>
      <family val="1"/>
      <charset val="238"/>
    </font>
    <font>
      <b/>
      <sz val="11"/>
      <color theme="1"/>
      <name val="Times New Roman"/>
      <family val="1"/>
      <charset val="238"/>
    </font>
    <font>
      <sz val="9"/>
      <color indexed="81"/>
      <name val="Tahoma"/>
      <family val="2"/>
      <charset val="238"/>
    </font>
    <font>
      <b/>
      <sz val="9"/>
      <color indexed="81"/>
      <name val="Tahoma"/>
      <family val="2"/>
      <charset val="238"/>
    </font>
    <font>
      <sz val="11"/>
      <color theme="0"/>
      <name val="Times New Roman"/>
      <family val="1"/>
    </font>
    <font>
      <b/>
      <sz val="11"/>
      <color theme="0"/>
      <name val="Times New Roman"/>
      <family val="1"/>
    </font>
    <font>
      <b/>
      <u/>
      <sz val="12"/>
      <name val="Times New Roman"/>
      <family val="1"/>
      <charset val="238"/>
    </font>
    <font>
      <sz val="11"/>
      <color indexed="8"/>
      <name val="Times New Roman"/>
      <family val="1"/>
    </font>
    <font>
      <b/>
      <i/>
      <sz val="11"/>
      <color theme="1"/>
      <name val="Times New Roman"/>
      <family val="1"/>
      <charset val="238"/>
    </font>
    <font>
      <sz val="12"/>
      <color theme="1"/>
      <name val="Times New Roman"/>
      <family val="1"/>
    </font>
    <font>
      <b/>
      <sz val="8"/>
      <name val="Times New Roman"/>
      <family val="1"/>
      <charset val="238"/>
    </font>
    <font>
      <sz val="12"/>
      <color theme="1"/>
      <name val="Calibri"/>
      <family val="2"/>
      <charset val="238"/>
      <scheme val="minor"/>
    </font>
    <font>
      <u/>
      <sz val="11"/>
      <name val="Times New Roman"/>
      <family val="1"/>
    </font>
  </fonts>
  <fills count="52">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indexed="51"/>
        <bgColor indexed="31"/>
      </patternFill>
    </fill>
    <fill>
      <patternFill patternType="solid">
        <fgColor indexed="51"/>
        <bgColor indexed="26"/>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66FFCC"/>
        <bgColor indexed="64"/>
      </patternFill>
    </fill>
    <fill>
      <patternFill patternType="solid">
        <fgColor theme="3" tint="0.39997558519241921"/>
        <bgColor indexed="64"/>
      </patternFill>
    </fill>
    <fill>
      <patternFill patternType="solid">
        <fgColor theme="0" tint="-0.249977111117893"/>
        <bgColor indexed="26"/>
      </patternFill>
    </fill>
    <fill>
      <patternFill patternType="solid">
        <fgColor theme="9" tint="0.39997558519241921"/>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00B0F0"/>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FF0000"/>
        <bgColor indexed="64"/>
      </patternFill>
    </fill>
    <fill>
      <patternFill patternType="solid">
        <fgColor theme="4"/>
        <bgColor indexed="64"/>
      </patternFill>
    </fill>
    <fill>
      <patternFill patternType="solid">
        <fgColor rgb="FFE41AA1"/>
        <bgColor indexed="64"/>
      </patternFill>
    </fill>
    <fill>
      <patternFill patternType="solid">
        <fgColor theme="7" tint="0.59999389629810485"/>
        <bgColor indexed="64"/>
      </patternFill>
    </fill>
  </fills>
  <borders count="18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style="thin">
        <color indexed="8"/>
      </left>
      <right style="thin">
        <color indexed="8"/>
      </right>
      <top/>
      <bottom/>
      <diagonal/>
    </border>
    <border>
      <left style="thin">
        <color indexed="8"/>
      </left>
      <right style="thin">
        <color indexed="8"/>
      </right>
      <top/>
      <bottom style="hair">
        <color indexed="8"/>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auto="1"/>
      </top>
      <bottom/>
      <diagonal/>
    </border>
    <border>
      <left style="thin">
        <color auto="1"/>
      </left>
      <right style="thin">
        <color auto="1"/>
      </right>
      <top style="hair">
        <color auto="1"/>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62">
    <xf numFmtId="0" fontId="0" fillId="0" borderId="0"/>
    <xf numFmtId="0" fontId="3"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167" fontId="3" fillId="0" borderId="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3" fillId="23" borderId="7" applyNumberFormat="0" applyAlignment="0" applyProtection="0"/>
    <xf numFmtId="0" fontId="17" fillId="20" borderId="8" applyNumberFormat="0" applyAlignment="0" applyProtection="0"/>
    <xf numFmtId="9" fontId="3" fillId="0" borderId="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9" fontId="24" fillId="0" borderId="0" applyFont="0" applyFill="0" applyBorder="0" applyAlignment="0" applyProtection="0"/>
    <xf numFmtId="0" fontId="24" fillId="0" borderId="0"/>
    <xf numFmtId="166" fontId="30" fillId="0" borderId="0" applyFont="0" applyFill="0" applyBorder="0" applyAlignment="0" applyProtection="0"/>
    <xf numFmtId="9" fontId="30" fillId="0" borderId="0" applyFont="0" applyFill="0" applyBorder="0" applyAlignment="0" applyProtection="0"/>
    <xf numFmtId="0" fontId="38" fillId="0" borderId="0"/>
    <xf numFmtId="164" fontId="30" fillId="0" borderId="0" applyFont="0" applyFill="0" applyBorder="0" applyAlignment="0" applyProtection="0"/>
    <xf numFmtId="0" fontId="30" fillId="0" borderId="0"/>
    <xf numFmtId="0" fontId="7" fillId="20" borderId="29" applyNumberFormat="0" applyAlignment="0" applyProtection="0"/>
    <xf numFmtId="0" fontId="14" fillId="7" borderId="29" applyNumberFormat="0" applyAlignment="0" applyProtection="0"/>
    <xf numFmtId="0" fontId="3" fillId="23" borderId="30" applyNumberFormat="0" applyAlignment="0" applyProtection="0"/>
    <xf numFmtId="0" fontId="17" fillId="20" borderId="31" applyNumberFormat="0" applyAlignment="0" applyProtection="0"/>
    <xf numFmtId="0" fontId="19" fillId="0" borderId="32" applyNumberFormat="0" applyFill="0" applyAlignment="0" applyProtection="0"/>
    <xf numFmtId="0" fontId="7" fillId="20" borderId="36" applyNumberFormat="0" applyAlignment="0" applyProtection="0"/>
    <xf numFmtId="0" fontId="14" fillId="7" borderId="36" applyNumberFormat="0" applyAlignment="0" applyProtection="0"/>
    <xf numFmtId="0" fontId="3" fillId="23" borderId="37" applyNumberFormat="0" applyAlignment="0" applyProtection="0"/>
    <xf numFmtId="0" fontId="17" fillId="20" borderId="38" applyNumberFormat="0" applyAlignment="0" applyProtection="0"/>
    <xf numFmtId="0" fontId="19" fillId="0" borderId="39" applyNumberFormat="0" applyFill="0" applyAlignment="0" applyProtection="0"/>
  </cellStyleXfs>
  <cellXfs count="1465">
    <xf numFmtId="0" fontId="0" fillId="0" borderId="0" xfId="0"/>
    <xf numFmtId="3" fontId="2" fillId="0" borderId="10" xfId="29" applyNumberFormat="1" applyFont="1" applyFill="1" applyBorder="1" applyAlignment="1" applyProtection="1">
      <alignment horizontal="right" vertical="center"/>
    </xf>
    <xf numFmtId="3" fontId="1" fillId="0" borderId="10" xfId="29" applyNumberFormat="1" applyFont="1" applyFill="1" applyBorder="1" applyAlignment="1" applyProtection="1">
      <alignment horizontal="right" vertical="center"/>
    </xf>
    <xf numFmtId="3" fontId="2" fillId="0" borderId="10" xfId="29" applyNumberFormat="1" applyFont="1" applyFill="1" applyBorder="1" applyAlignment="1" applyProtection="1">
      <alignment horizontal="right" vertical="center" wrapText="1"/>
    </xf>
    <xf numFmtId="0" fontId="1" fillId="0" borderId="10" xfId="1" applyNumberFormat="1" applyFont="1" applyFill="1" applyBorder="1" applyAlignment="1">
      <alignment horizontal="center" vertical="center" wrapText="1"/>
    </xf>
    <xf numFmtId="49" fontId="1" fillId="0" borderId="10" xfId="1" applyNumberFormat="1" applyFont="1" applyFill="1" applyBorder="1" applyAlignment="1">
      <alignment horizontal="center" vertical="center"/>
    </xf>
    <xf numFmtId="49" fontId="2" fillId="0" borderId="10" xfId="1" applyNumberFormat="1" applyFont="1" applyFill="1" applyBorder="1" applyAlignment="1">
      <alignment horizontal="center" vertical="center"/>
    </xf>
    <xf numFmtId="0" fontId="2" fillId="0" borderId="10" xfId="1" applyNumberFormat="1" applyFont="1" applyFill="1" applyBorder="1" applyAlignment="1">
      <alignment horizontal="center" vertical="center"/>
    </xf>
    <xf numFmtId="0" fontId="1" fillId="0" borderId="10" xfId="1" applyNumberFormat="1" applyFont="1" applyFill="1" applyBorder="1" applyAlignment="1">
      <alignment horizontal="center" vertical="center"/>
    </xf>
    <xf numFmtId="0" fontId="2" fillId="0" borderId="10" xfId="1" applyNumberFormat="1" applyFont="1" applyFill="1" applyBorder="1" applyAlignment="1">
      <alignment horizontal="center" vertical="center" wrapText="1"/>
    </xf>
    <xf numFmtId="0" fontId="23" fillId="0" borderId="10" xfId="1" applyFont="1" applyFill="1" applyBorder="1" applyAlignment="1">
      <alignment horizontal="center" vertical="center" wrapText="1"/>
    </xf>
    <xf numFmtId="0" fontId="23" fillId="0" borderId="10" xfId="1" applyFont="1" applyBorder="1" applyAlignment="1">
      <alignment horizontal="center"/>
    </xf>
    <xf numFmtId="49" fontId="21" fillId="0" borderId="11" xfId="1" applyNumberFormat="1" applyFont="1" applyBorder="1" applyAlignment="1">
      <alignment horizontal="center"/>
    </xf>
    <xf numFmtId="0" fontId="21" fillId="0" borderId="0" xfId="1" applyFont="1" applyFill="1"/>
    <xf numFmtId="49" fontId="21" fillId="0" borderId="0" xfId="1" applyNumberFormat="1" applyFont="1" applyAlignment="1">
      <alignment horizontal="center" vertical="center"/>
    </xf>
    <xf numFmtId="49" fontId="22" fillId="20" borderId="10" xfId="1" applyNumberFormat="1" applyFont="1" applyFill="1" applyBorder="1" applyAlignment="1">
      <alignment horizontal="center" vertical="center"/>
    </xf>
    <xf numFmtId="0" fontId="22" fillId="20" borderId="10" xfId="1" applyFont="1" applyFill="1" applyBorder="1" applyAlignment="1">
      <alignment horizontal="center" vertical="center" wrapText="1"/>
    </xf>
    <xf numFmtId="49" fontId="21" fillId="0" borderId="10" xfId="1" applyNumberFormat="1" applyFont="1" applyBorder="1" applyAlignment="1">
      <alignment horizontal="center" vertical="center"/>
    </xf>
    <xf numFmtId="0" fontId="22" fillId="6" borderId="10" xfId="1" applyFont="1" applyFill="1" applyBorder="1" applyAlignment="1">
      <alignment horizontal="center" vertical="center"/>
    </xf>
    <xf numFmtId="0" fontId="22" fillId="6" borderId="10" xfId="1" applyFont="1" applyFill="1" applyBorder="1" applyAlignment="1">
      <alignment horizontal="center" vertical="center" wrapText="1"/>
    </xf>
    <xf numFmtId="4" fontId="22" fillId="6" borderId="10" xfId="29" applyNumberFormat="1" applyFont="1" applyFill="1" applyBorder="1" applyAlignment="1" applyProtection="1">
      <alignment horizontal="center" vertical="center" wrapText="1"/>
    </xf>
    <xf numFmtId="0" fontId="21" fillId="0" borderId="10" xfId="1" applyFont="1" applyFill="1" applyBorder="1" applyAlignment="1">
      <alignment horizontal="center" vertical="center" wrapText="1"/>
    </xf>
    <xf numFmtId="0" fontId="22" fillId="20" borderId="10" xfId="1" applyFont="1" applyFill="1" applyBorder="1" applyAlignment="1">
      <alignment vertical="center" wrapText="1"/>
    </xf>
    <xf numFmtId="3" fontId="22" fillId="20" borderId="10" xfId="29" applyNumberFormat="1" applyFont="1" applyFill="1" applyBorder="1" applyAlignment="1" applyProtection="1">
      <alignment vertical="center" wrapText="1"/>
    </xf>
    <xf numFmtId="0" fontId="22" fillId="22" borderId="10" xfId="1" applyFont="1" applyFill="1" applyBorder="1" applyAlignment="1">
      <alignment vertical="center" wrapText="1"/>
    </xf>
    <xf numFmtId="0" fontId="22" fillId="22" borderId="10" xfId="1" applyFont="1" applyFill="1" applyBorder="1" applyAlignment="1">
      <alignment horizontal="center" vertical="center" wrapText="1"/>
    </xf>
    <xf numFmtId="3" fontId="22" fillId="22" borderId="10" xfId="29" applyNumberFormat="1" applyFont="1" applyFill="1" applyBorder="1" applyAlignment="1" applyProtection="1">
      <alignment vertical="center" wrapText="1"/>
    </xf>
    <xf numFmtId="0" fontId="21" fillId="0" borderId="10" xfId="1" applyFont="1" applyFill="1" applyBorder="1" applyAlignment="1">
      <alignment vertical="center" wrapText="1"/>
    </xf>
    <xf numFmtId="3" fontId="21" fillId="0" borderId="10" xfId="29" applyNumberFormat="1" applyFont="1" applyFill="1" applyBorder="1" applyAlignment="1" applyProtection="1">
      <alignment vertical="center" wrapText="1"/>
    </xf>
    <xf numFmtId="0" fontId="22" fillId="22" borderId="15" xfId="1" applyFont="1" applyFill="1" applyBorder="1" applyAlignment="1">
      <alignment vertical="center" wrapText="1"/>
    </xf>
    <xf numFmtId="0" fontId="22" fillId="22" borderId="15" xfId="1" applyFont="1" applyFill="1" applyBorder="1" applyAlignment="1">
      <alignment horizontal="center" vertical="center" wrapText="1"/>
    </xf>
    <xf numFmtId="3" fontId="22" fillId="22" borderId="15" xfId="29" applyNumberFormat="1" applyFont="1" applyFill="1" applyBorder="1" applyAlignment="1" applyProtection="1">
      <alignment vertical="center" wrapText="1"/>
    </xf>
    <xf numFmtId="49" fontId="21" fillId="0" borderId="14" xfId="1" applyNumberFormat="1" applyFont="1" applyFill="1" applyBorder="1" applyAlignment="1">
      <alignment vertical="center" wrapText="1"/>
    </xf>
    <xf numFmtId="0" fontId="21" fillId="0" borderId="13" xfId="1" applyNumberFormat="1" applyFont="1" applyFill="1" applyBorder="1" applyAlignment="1">
      <alignment horizontal="center" vertical="center" wrapText="1"/>
    </xf>
    <xf numFmtId="3" fontId="21" fillId="0" borderId="11" xfId="29" applyNumberFormat="1" applyFont="1" applyFill="1" applyBorder="1" applyAlignment="1" applyProtection="1">
      <alignment vertical="center" wrapText="1"/>
    </xf>
    <xf numFmtId="0" fontId="21" fillId="0" borderId="14" xfId="1" applyFont="1" applyBorder="1" applyAlignment="1">
      <alignment vertical="center" wrapText="1"/>
    </xf>
    <xf numFmtId="0" fontId="22" fillId="22" borderId="16" xfId="1" applyFont="1" applyFill="1" applyBorder="1" applyAlignment="1">
      <alignment vertical="center" wrapText="1"/>
    </xf>
    <xf numFmtId="0" fontId="22" fillId="22" borderId="16" xfId="1" applyFont="1" applyFill="1" applyBorder="1" applyAlignment="1">
      <alignment horizontal="center" vertical="center" wrapText="1"/>
    </xf>
    <xf numFmtId="3" fontId="22" fillId="22" borderId="16" xfId="29" applyNumberFormat="1" applyFont="1" applyFill="1" applyBorder="1" applyAlignment="1" applyProtection="1">
      <alignment vertical="center" wrapText="1"/>
    </xf>
    <xf numFmtId="0" fontId="21" fillId="0" borderId="10" xfId="1" applyFont="1" applyFill="1" applyBorder="1" applyAlignment="1">
      <alignment horizontal="center"/>
    </xf>
    <xf numFmtId="3" fontId="21" fillId="0" borderId="10" xfId="29" applyNumberFormat="1" applyFont="1" applyFill="1" applyBorder="1" applyAlignment="1" applyProtection="1"/>
    <xf numFmtId="0" fontId="22" fillId="22" borderId="10" xfId="1" applyFont="1" applyFill="1" applyBorder="1" applyAlignment="1">
      <alignment horizontal="center"/>
    </xf>
    <xf numFmtId="3" fontId="22" fillId="22" borderId="10" xfId="29" applyNumberFormat="1" applyFont="1" applyFill="1" applyBorder="1" applyAlignment="1" applyProtection="1"/>
    <xf numFmtId="0" fontId="21" fillId="0" borderId="0" xfId="1" applyFont="1" applyFill="1" applyAlignment="1">
      <alignment horizontal="center"/>
    </xf>
    <xf numFmtId="3" fontId="21" fillId="0" borderId="0" xfId="29" applyNumberFormat="1" applyFont="1" applyFill="1" applyBorder="1" applyAlignment="1" applyProtection="1"/>
    <xf numFmtId="0" fontId="22" fillId="20" borderId="10" xfId="1" applyFont="1" applyFill="1" applyBorder="1" applyAlignment="1">
      <alignment horizontal="center" vertical="center"/>
    </xf>
    <xf numFmtId="49" fontId="22" fillId="22" borderId="10" xfId="1" applyNumberFormat="1" applyFont="1" applyFill="1" applyBorder="1" applyAlignment="1">
      <alignment horizontal="center" vertical="center"/>
    </xf>
    <xf numFmtId="49" fontId="22" fillId="22" borderId="15" xfId="1" applyNumberFormat="1" applyFont="1" applyFill="1" applyBorder="1" applyAlignment="1">
      <alignment horizontal="center" vertical="center"/>
    </xf>
    <xf numFmtId="49" fontId="21" fillId="0" borderId="11" xfId="1" applyNumberFormat="1" applyFont="1" applyFill="1" applyBorder="1" applyAlignment="1">
      <alignment horizontal="center" vertical="center"/>
    </xf>
    <xf numFmtId="49" fontId="21" fillId="0" borderId="11" xfId="1" applyNumberFormat="1" applyFont="1" applyBorder="1" applyAlignment="1">
      <alignment horizontal="center" vertical="center"/>
    </xf>
    <xf numFmtId="49" fontId="22" fillId="22" borderId="16" xfId="1" applyNumberFormat="1" applyFont="1" applyFill="1" applyBorder="1" applyAlignment="1">
      <alignment horizontal="center" vertical="center"/>
    </xf>
    <xf numFmtId="0" fontId="21" fillId="0" borderId="11" xfId="1" applyFont="1" applyBorder="1" applyAlignment="1">
      <alignment vertical="center" wrapText="1"/>
    </xf>
    <xf numFmtId="0" fontId="21" fillId="0" borderId="11" xfId="1" applyNumberFormat="1" applyFont="1" applyFill="1" applyBorder="1" applyAlignment="1">
      <alignment horizontal="center" vertical="center" wrapText="1"/>
    </xf>
    <xf numFmtId="0" fontId="21" fillId="0" borderId="11" xfId="1" applyFont="1" applyBorder="1" applyAlignment="1">
      <alignment horizontal="center" vertical="center" wrapText="1"/>
    </xf>
    <xf numFmtId="0" fontId="21" fillId="0" borderId="11" xfId="1" applyFont="1" applyFill="1" applyBorder="1" applyAlignment="1">
      <alignment vertical="center" wrapText="1"/>
    </xf>
    <xf numFmtId="0" fontId="21" fillId="0" borderId="11" xfId="1" applyFont="1" applyFill="1" applyBorder="1" applyAlignment="1">
      <alignment horizontal="center" vertical="center" wrapText="1"/>
    </xf>
    <xf numFmtId="49" fontId="25" fillId="0" borderId="11" xfId="46" applyNumberFormat="1" applyFont="1" applyBorder="1" applyAlignment="1" applyProtection="1">
      <alignment horizontal="left" vertical="top"/>
    </xf>
    <xf numFmtId="0" fontId="25" fillId="0" borderId="11" xfId="46" applyFont="1" applyBorder="1" applyAlignment="1" applyProtection="1">
      <alignment horizontal="left" vertical="top"/>
    </xf>
    <xf numFmtId="0" fontId="25" fillId="0" borderId="11" xfId="46" applyNumberFormat="1" applyFont="1" applyBorder="1" applyAlignment="1" applyProtection="1">
      <alignment horizontal="left" vertical="top"/>
    </xf>
    <xf numFmtId="49" fontId="26" fillId="0" borderId="11" xfId="46" applyNumberFormat="1" applyFont="1" applyBorder="1" applyAlignment="1" applyProtection="1">
      <alignment horizontal="left" vertical="top"/>
    </xf>
    <xf numFmtId="0" fontId="26" fillId="0" borderId="11" xfId="46" applyFont="1" applyBorder="1" applyAlignment="1" applyProtection="1">
      <alignment horizontal="left" vertical="top"/>
    </xf>
    <xf numFmtId="0" fontId="26" fillId="0" borderId="11" xfId="46" applyNumberFormat="1" applyFont="1" applyBorder="1" applyAlignment="1" applyProtection="1">
      <alignment horizontal="left" vertical="top"/>
    </xf>
    <xf numFmtId="49" fontId="28" fillId="0" borderId="11" xfId="46" applyNumberFormat="1" applyFont="1" applyBorder="1" applyAlignment="1" applyProtection="1">
      <alignment horizontal="left" vertical="top"/>
    </xf>
    <xf numFmtId="0" fontId="28" fillId="0" borderId="11" xfId="46" applyFont="1" applyBorder="1" applyAlignment="1" applyProtection="1">
      <alignment horizontal="left" vertical="top"/>
    </xf>
    <xf numFmtId="0" fontId="32" fillId="0" borderId="0" xfId="0" applyFont="1" applyAlignment="1">
      <alignment horizontal="center"/>
    </xf>
    <xf numFmtId="0" fontId="31" fillId="0" borderId="0" xfId="0" applyFont="1" applyAlignment="1">
      <alignment horizontal="center" vertical="center" wrapText="1"/>
    </xf>
    <xf numFmtId="0" fontId="31" fillId="0" borderId="0" xfId="0" applyFont="1"/>
    <xf numFmtId="0" fontId="29" fillId="0" borderId="0" xfId="0" applyFont="1" applyAlignment="1">
      <alignment vertical="center"/>
    </xf>
    <xf numFmtId="0" fontId="31" fillId="0" borderId="0" xfId="0" applyFont="1" applyAlignment="1">
      <alignment horizontal="center"/>
    </xf>
    <xf numFmtId="0" fontId="0" fillId="0" borderId="0" xfId="0" applyNumberFormat="1"/>
    <xf numFmtId="0" fontId="31" fillId="0" borderId="0" xfId="0" applyNumberFormat="1" applyFont="1"/>
    <xf numFmtId="0" fontId="33" fillId="0" borderId="0" xfId="0" applyFont="1" applyBorder="1" applyAlignment="1" applyProtection="1">
      <alignment vertical="top"/>
    </xf>
    <xf numFmtId="49" fontId="0" fillId="0" borderId="0" xfId="0" applyNumberFormat="1" applyAlignment="1" applyProtection="1">
      <alignment horizontal="left" vertical="top"/>
    </xf>
    <xf numFmtId="0" fontId="0" fillId="0" borderId="0" xfId="0" applyAlignment="1" applyProtection="1">
      <alignment vertical="top"/>
    </xf>
    <xf numFmtId="0" fontId="33" fillId="24" borderId="0" xfId="0" applyFont="1" applyFill="1" applyBorder="1" applyAlignment="1" applyProtection="1">
      <alignment vertical="top"/>
    </xf>
    <xf numFmtId="0" fontId="33" fillId="24" borderId="0" xfId="0" applyFont="1" applyFill="1" applyBorder="1" applyAlignment="1" applyProtection="1"/>
    <xf numFmtId="0" fontId="33" fillId="24" borderId="0" xfId="0" applyFont="1" applyFill="1" applyProtection="1"/>
    <xf numFmtId="0" fontId="33" fillId="24" borderId="0" xfId="0" applyFont="1" applyFill="1" applyAlignment="1" applyProtection="1">
      <alignment vertical="top"/>
    </xf>
    <xf numFmtId="4" fontId="22" fillId="6" borderId="10" xfId="29" applyNumberFormat="1" applyFont="1" applyFill="1" applyBorder="1" applyAlignment="1" applyProtection="1">
      <alignment horizontal="center" vertical="center" wrapText="1"/>
    </xf>
    <xf numFmtId="3" fontId="22" fillId="20" borderId="10" xfId="29" applyNumberFormat="1" applyFont="1" applyFill="1" applyBorder="1" applyAlignment="1" applyProtection="1">
      <alignment vertical="center" wrapText="1"/>
    </xf>
    <xf numFmtId="3" fontId="22" fillId="22" borderId="10" xfId="29" applyNumberFormat="1" applyFont="1" applyFill="1" applyBorder="1" applyAlignment="1" applyProtection="1">
      <alignment vertical="center" wrapText="1"/>
    </xf>
    <xf numFmtId="3" fontId="21" fillId="0" borderId="10" xfId="29" applyNumberFormat="1" applyFont="1" applyFill="1" applyBorder="1" applyAlignment="1" applyProtection="1">
      <alignment vertical="center" wrapText="1"/>
    </xf>
    <xf numFmtId="3" fontId="22" fillId="22" borderId="15" xfId="29" applyNumberFormat="1" applyFont="1" applyFill="1" applyBorder="1" applyAlignment="1" applyProtection="1">
      <alignment vertical="center" wrapText="1"/>
    </xf>
    <xf numFmtId="3" fontId="21" fillId="0" borderId="11" xfId="29" applyNumberFormat="1" applyFont="1" applyFill="1" applyBorder="1" applyAlignment="1" applyProtection="1">
      <alignment vertical="center" wrapText="1"/>
    </xf>
    <xf numFmtId="3" fontId="22" fillId="22" borderId="16" xfId="29" applyNumberFormat="1" applyFont="1" applyFill="1" applyBorder="1" applyAlignment="1" applyProtection="1">
      <alignment vertical="center" wrapText="1"/>
    </xf>
    <xf numFmtId="3" fontId="21" fillId="0" borderId="10" xfId="29" applyNumberFormat="1" applyFont="1" applyFill="1" applyBorder="1" applyAlignment="1" applyProtection="1"/>
    <xf numFmtId="3" fontId="22" fillId="22" borderId="10" xfId="29" applyNumberFormat="1" applyFont="1" applyFill="1" applyBorder="1" applyAlignment="1" applyProtection="1"/>
    <xf numFmtId="3" fontId="21" fillId="0" borderId="0" xfId="29" applyNumberFormat="1" applyFont="1" applyFill="1" applyBorder="1" applyAlignment="1" applyProtection="1"/>
    <xf numFmtId="0" fontId="45" fillId="0" borderId="0" xfId="0" applyFont="1"/>
    <xf numFmtId="0" fontId="41" fillId="6" borderId="11" xfId="1" applyFont="1" applyFill="1" applyBorder="1" applyAlignment="1">
      <alignment horizontal="center" vertical="center" wrapText="1"/>
    </xf>
    <xf numFmtId="49" fontId="47" fillId="0" borderId="11" xfId="1" applyNumberFormat="1" applyFont="1" applyFill="1" applyBorder="1" applyAlignment="1">
      <alignment horizontal="center" vertical="center" wrapText="1"/>
    </xf>
    <xf numFmtId="0" fontId="45" fillId="0" borderId="18" xfId="0" applyFont="1" applyBorder="1" applyAlignment="1">
      <alignment horizontal="center"/>
    </xf>
    <xf numFmtId="0" fontId="49" fillId="0" borderId="18" xfId="0" applyFont="1" applyFill="1" applyBorder="1" applyAlignment="1" applyProtection="1"/>
    <xf numFmtId="0" fontId="45" fillId="0" borderId="18" xfId="0" applyFont="1" applyBorder="1"/>
    <xf numFmtId="0" fontId="46" fillId="0" borderId="0" xfId="0" applyFont="1"/>
    <xf numFmtId="49" fontId="45" fillId="0" borderId="18" xfId="0" applyNumberFormat="1" applyFont="1" applyBorder="1" applyAlignment="1" applyProtection="1">
      <alignment horizontal="center" vertical="center"/>
    </xf>
    <xf numFmtId="49" fontId="45" fillId="0" borderId="18" xfId="0" applyNumberFormat="1" applyFont="1" applyBorder="1" applyAlignment="1" applyProtection="1">
      <alignment horizontal="center" vertical="top"/>
    </xf>
    <xf numFmtId="49" fontId="42" fillId="0" borderId="23" xfId="0" applyNumberFormat="1" applyFont="1" applyFill="1" applyBorder="1" applyAlignment="1">
      <alignment horizontal="center" vertical="center"/>
    </xf>
    <xf numFmtId="49" fontId="44" fillId="20" borderId="23" xfId="0" applyNumberFormat="1" applyFont="1" applyFill="1" applyBorder="1" applyAlignment="1">
      <alignment horizontal="left" vertical="center"/>
    </xf>
    <xf numFmtId="0" fontId="51" fillId="20" borderId="23" xfId="0" applyFont="1" applyFill="1" applyBorder="1"/>
    <xf numFmtId="0" fontId="42" fillId="0" borderId="23" xfId="0" applyFont="1" applyFill="1" applyBorder="1" applyAlignment="1">
      <alignment horizontal="left" vertical="center" wrapText="1"/>
    </xf>
    <xf numFmtId="49" fontId="44" fillId="20" borderId="23" xfId="0" applyNumberFormat="1" applyFont="1" applyFill="1" applyBorder="1" applyAlignment="1">
      <alignment horizontal="left"/>
    </xf>
    <xf numFmtId="0" fontId="44" fillId="20" borderId="23" xfId="0" applyFont="1" applyFill="1" applyBorder="1" applyAlignment="1">
      <alignment horizontal="left" wrapText="1"/>
    </xf>
    <xf numFmtId="49" fontId="42" fillId="0" borderId="23" xfId="0" applyNumberFormat="1" applyFont="1" applyFill="1" applyBorder="1" applyAlignment="1">
      <alignment horizontal="center"/>
    </xf>
    <xf numFmtId="0" fontId="42" fillId="0" borderId="23" xfId="0" applyFont="1" applyFill="1" applyBorder="1" applyAlignment="1">
      <alignment horizontal="left" wrapText="1"/>
    </xf>
    <xf numFmtId="49" fontId="42" fillId="0" borderId="23" xfId="0" applyNumberFormat="1" applyFont="1" applyFill="1" applyBorder="1" applyAlignment="1">
      <alignment horizontal="right"/>
    </xf>
    <xf numFmtId="0" fontId="51" fillId="20" borderId="23" xfId="0" applyFont="1" applyFill="1" applyBorder="1" applyAlignment="1">
      <alignment wrapText="1"/>
    </xf>
    <xf numFmtId="0" fontId="52" fillId="0" borderId="23" xfId="0" applyFont="1" applyFill="1" applyBorder="1" applyAlignment="1">
      <alignment wrapText="1"/>
    </xf>
    <xf numFmtId="49" fontId="42" fillId="0" borderId="23" xfId="0" applyNumberFormat="1" applyFont="1" applyFill="1" applyBorder="1" applyAlignment="1">
      <alignment horizontal="right" vertical="center"/>
    </xf>
    <xf numFmtId="49" fontId="44" fillId="29" borderId="23" xfId="0" applyNumberFormat="1" applyFont="1" applyFill="1" applyBorder="1" applyAlignment="1">
      <alignment horizontal="left"/>
    </xf>
    <xf numFmtId="0" fontId="51" fillId="29" borderId="23" xfId="0" applyFont="1" applyFill="1" applyBorder="1" applyAlignment="1">
      <alignment wrapText="1"/>
    </xf>
    <xf numFmtId="0" fontId="44" fillId="26" borderId="23" xfId="0" applyFont="1" applyFill="1" applyBorder="1" applyAlignment="1">
      <alignment horizontal="left"/>
    </xf>
    <xf numFmtId="0" fontId="51" fillId="26" borderId="23" xfId="0" applyFont="1" applyFill="1" applyBorder="1" applyAlignment="1">
      <alignment wrapText="1"/>
    </xf>
    <xf numFmtId="49" fontId="44" fillId="20" borderId="23" xfId="0" applyNumberFormat="1" applyFont="1" applyFill="1" applyBorder="1" applyAlignment="1">
      <alignment horizontal="left" vertical="center" wrapText="1"/>
    </xf>
    <xf numFmtId="49" fontId="42" fillId="4" borderId="24" xfId="0" applyNumberFormat="1" applyFont="1" applyFill="1" applyBorder="1" applyAlignment="1">
      <alignment horizontal="center"/>
    </xf>
    <xf numFmtId="0" fontId="44" fillId="4" borderId="24" xfId="0" applyFont="1" applyFill="1" applyBorder="1" applyAlignment="1">
      <alignment horizontal="center" vertical="center"/>
    </xf>
    <xf numFmtId="49" fontId="42" fillId="0" borderId="0" xfId="0" applyNumberFormat="1" applyFont="1" applyBorder="1" applyAlignment="1">
      <alignment horizontal="center" vertical="center" wrapText="1"/>
    </xf>
    <xf numFmtId="0" fontId="42" fillId="0" borderId="0" xfId="0" applyFont="1" applyBorder="1" applyAlignment="1">
      <alignment horizontal="left" vertical="center" wrapText="1"/>
    </xf>
    <xf numFmtId="170" fontId="42" fillId="0" borderId="0" xfId="29" applyNumberFormat="1" applyFont="1" applyFill="1" applyBorder="1" applyAlignment="1" applyProtection="1">
      <alignment horizontal="right" vertical="center" wrapText="1"/>
    </xf>
    <xf numFmtId="0" fontId="44" fillId="0" borderId="0" xfId="0" applyFont="1" applyAlignment="1">
      <alignment horizontal="center"/>
    </xf>
    <xf numFmtId="0" fontId="44" fillId="0" borderId="0" xfId="0" applyFont="1"/>
    <xf numFmtId="0" fontId="44" fillId="0" borderId="0" xfId="0" applyFont="1" applyAlignment="1">
      <alignment horizontal="left"/>
    </xf>
    <xf numFmtId="0" fontId="44" fillId="0" borderId="0" xfId="0" applyFont="1" applyAlignment="1">
      <alignment horizontal="right" vertical="center" wrapText="1"/>
    </xf>
    <xf numFmtId="0" fontId="42" fillId="0" borderId="0" xfId="0" applyFont="1"/>
    <xf numFmtId="168" fontId="42" fillId="0" borderId="0" xfId="0" applyNumberFormat="1" applyFont="1" applyFill="1"/>
    <xf numFmtId="0" fontId="54" fillId="0" borderId="11" xfId="0" applyNumberFormat="1" applyFont="1" applyBorder="1" applyAlignment="1">
      <alignment horizontal="center" wrapText="1"/>
    </xf>
    <xf numFmtId="0" fontId="55" fillId="0" borderId="11" xfId="0" applyNumberFormat="1" applyFont="1" applyBorder="1" applyAlignment="1">
      <alignment horizontal="center" wrapText="1"/>
    </xf>
    <xf numFmtId="165" fontId="45" fillId="0" borderId="0" xfId="0" applyNumberFormat="1" applyFont="1" applyAlignment="1">
      <alignment wrapText="1"/>
    </xf>
    <xf numFmtId="49" fontId="41" fillId="25" borderId="18" xfId="0" applyNumberFormat="1" applyFont="1" applyFill="1" applyBorder="1" applyAlignment="1">
      <alignment horizontal="center" wrapText="1"/>
    </xf>
    <xf numFmtId="49" fontId="41" fillId="25" borderId="18" xfId="0" applyNumberFormat="1" applyFont="1" applyFill="1" applyBorder="1" applyAlignment="1">
      <alignment horizontal="left" vertical="center" wrapText="1"/>
    </xf>
    <xf numFmtId="165" fontId="41" fillId="25" borderId="18" xfId="29" applyNumberFormat="1" applyFont="1" applyFill="1" applyBorder="1" applyAlignment="1" applyProtection="1">
      <alignment horizontal="right" vertical="center" wrapText="1"/>
    </xf>
    <xf numFmtId="49" fontId="41" fillId="26" borderId="18" xfId="0" applyNumberFormat="1" applyFont="1" applyFill="1" applyBorder="1" applyAlignment="1">
      <alignment horizontal="left" wrapText="1"/>
    </xf>
    <xf numFmtId="49" fontId="41" fillId="26" borderId="18" xfId="0" applyNumberFormat="1" applyFont="1" applyFill="1" applyBorder="1" applyAlignment="1">
      <alignment horizontal="center" wrapText="1"/>
    </xf>
    <xf numFmtId="49" fontId="41" fillId="26" borderId="18" xfId="0" applyNumberFormat="1" applyFont="1" applyFill="1" applyBorder="1" applyAlignment="1">
      <alignment horizontal="left" vertical="center" wrapText="1"/>
    </xf>
    <xf numFmtId="165" fontId="41" fillId="26" borderId="18" xfId="29" applyNumberFormat="1" applyFont="1" applyFill="1" applyBorder="1" applyAlignment="1" applyProtection="1">
      <alignment horizontal="right" vertical="center" wrapText="1"/>
    </xf>
    <xf numFmtId="0" fontId="41" fillId="27" borderId="18" xfId="0" applyFont="1" applyFill="1" applyBorder="1" applyAlignment="1">
      <alignment horizontal="center" vertical="center" wrapText="1"/>
    </xf>
    <xf numFmtId="0" fontId="41" fillId="27" borderId="18" xfId="0" applyFont="1" applyFill="1" applyBorder="1" applyAlignment="1">
      <alignment horizontal="left" vertical="center" wrapText="1"/>
    </xf>
    <xf numFmtId="165" fontId="41" fillId="27" borderId="18" xfId="29" applyNumberFormat="1" applyFont="1" applyFill="1" applyBorder="1" applyAlignment="1" applyProtection="1">
      <alignment horizontal="right" vertical="center" wrapText="1"/>
    </xf>
    <xf numFmtId="0" fontId="41" fillId="22" borderId="18" xfId="0" applyFont="1" applyFill="1" applyBorder="1" applyAlignment="1">
      <alignment horizontal="right" vertical="center" wrapText="1"/>
    </xf>
    <xf numFmtId="0" fontId="56" fillId="22" borderId="18" xfId="0" applyFont="1" applyFill="1" applyBorder="1" applyAlignment="1">
      <alignment horizontal="center" vertical="center" wrapText="1"/>
    </xf>
    <xf numFmtId="0" fontId="41" fillId="22" borderId="18" xfId="0" applyFont="1" applyFill="1" applyBorder="1" applyAlignment="1">
      <alignment vertical="center" wrapText="1"/>
    </xf>
    <xf numFmtId="165" fontId="41" fillId="22" borderId="18" xfId="29" applyNumberFormat="1" applyFont="1" applyFill="1" applyBorder="1" applyAlignment="1" applyProtection="1">
      <alignment horizontal="right" vertical="center" wrapText="1"/>
    </xf>
    <xf numFmtId="0" fontId="56" fillId="0" borderId="18" xfId="0" applyFont="1" applyFill="1" applyBorder="1" applyAlignment="1">
      <alignment horizontal="center" vertical="center" wrapText="1"/>
    </xf>
    <xf numFmtId="0" fontId="56" fillId="0" borderId="18" xfId="0" applyFont="1" applyBorder="1" applyAlignment="1">
      <alignment vertical="center" wrapText="1"/>
    </xf>
    <xf numFmtId="165" fontId="56" fillId="0" borderId="18" xfId="29" applyNumberFormat="1" applyFont="1" applyFill="1" applyBorder="1" applyAlignment="1" applyProtection="1">
      <alignment horizontal="right" vertical="center" wrapText="1"/>
    </xf>
    <xf numFmtId="0" fontId="41" fillId="0" borderId="18" xfId="0" applyFont="1" applyFill="1" applyBorder="1" applyAlignment="1">
      <alignment horizontal="center" vertical="center" wrapText="1"/>
    </xf>
    <xf numFmtId="0" fontId="41" fillId="22" borderId="18" xfId="0" applyFont="1" applyFill="1" applyBorder="1" applyAlignment="1">
      <alignment horizontal="center" vertical="center" wrapText="1"/>
    </xf>
    <xf numFmtId="0" fontId="56" fillId="0" borderId="18" xfId="0" applyFont="1" applyFill="1" applyBorder="1" applyAlignment="1">
      <alignment vertical="center" wrapText="1"/>
    </xf>
    <xf numFmtId="49" fontId="56" fillId="0" borderId="18" xfId="0" applyNumberFormat="1" applyFont="1" applyFill="1" applyBorder="1" applyAlignment="1">
      <alignment horizontal="center" vertical="center" wrapText="1"/>
    </xf>
    <xf numFmtId="49" fontId="41" fillId="22" borderId="18" xfId="0" applyNumberFormat="1" applyFont="1" applyFill="1" applyBorder="1" applyAlignment="1">
      <alignment horizontal="right" vertical="center" wrapText="1"/>
    </xf>
    <xf numFmtId="49" fontId="56" fillId="22" borderId="18" xfId="0" applyNumberFormat="1" applyFont="1" applyFill="1" applyBorder="1" applyAlignment="1">
      <alignment horizontal="center" vertical="center" wrapText="1"/>
    </xf>
    <xf numFmtId="49" fontId="41" fillId="22" borderId="18" xfId="0" applyNumberFormat="1" applyFont="1" applyFill="1" applyBorder="1" applyAlignment="1">
      <alignment vertical="center" wrapText="1"/>
    </xf>
    <xf numFmtId="49" fontId="41" fillId="27" borderId="18" xfId="0" applyNumberFormat="1" applyFont="1" applyFill="1" applyBorder="1" applyAlignment="1">
      <alignment horizontal="center" vertical="center" wrapText="1"/>
    </xf>
    <xf numFmtId="49" fontId="56" fillId="27" borderId="18" xfId="0" applyNumberFormat="1" applyFont="1" applyFill="1" applyBorder="1" applyAlignment="1">
      <alignment horizontal="center" vertical="center" wrapText="1"/>
    </xf>
    <xf numFmtId="49" fontId="41" fillId="27" borderId="18" xfId="0" applyNumberFormat="1" applyFont="1" applyFill="1" applyBorder="1" applyAlignment="1">
      <alignment vertical="center" wrapText="1"/>
    </xf>
    <xf numFmtId="49" fontId="56" fillId="0" borderId="18" xfId="0" applyNumberFormat="1" applyFont="1" applyFill="1" applyBorder="1" applyAlignment="1">
      <alignment vertical="center" wrapText="1"/>
    </xf>
    <xf numFmtId="49" fontId="41" fillId="0" borderId="18" xfId="0" applyNumberFormat="1" applyFont="1" applyFill="1" applyBorder="1" applyAlignment="1">
      <alignment horizontal="center" vertical="center" wrapText="1"/>
    </xf>
    <xf numFmtId="0" fontId="56" fillId="0" borderId="18" xfId="0" applyFont="1" applyBorder="1" applyAlignment="1">
      <alignment horizontal="center"/>
    </xf>
    <xf numFmtId="0" fontId="56" fillId="0" borderId="18" xfId="0" applyFont="1" applyBorder="1"/>
    <xf numFmtId="49" fontId="41" fillId="28" borderId="18" xfId="0" applyNumberFormat="1" applyFont="1" applyFill="1" applyBorder="1" applyAlignment="1">
      <alignment horizontal="center" vertical="center" wrapText="1"/>
    </xf>
    <xf numFmtId="49" fontId="56" fillId="28" borderId="18" xfId="0" applyNumberFormat="1" applyFont="1" applyFill="1" applyBorder="1" applyAlignment="1">
      <alignment horizontal="center" vertical="center" wrapText="1"/>
    </xf>
    <xf numFmtId="49" fontId="41" fillId="28" borderId="18" xfId="0" applyNumberFormat="1" applyFont="1" applyFill="1" applyBorder="1" applyAlignment="1">
      <alignment vertical="center" wrapText="1"/>
    </xf>
    <xf numFmtId="165" fontId="41" fillId="28" borderId="18" xfId="29" applyNumberFormat="1" applyFont="1" applyFill="1" applyBorder="1" applyAlignment="1" applyProtection="1">
      <alignment horizontal="right" vertical="center" wrapText="1"/>
    </xf>
    <xf numFmtId="49" fontId="41" fillId="20" borderId="18" xfId="0" applyNumberFormat="1" applyFont="1" applyFill="1" applyBorder="1" applyAlignment="1">
      <alignment horizontal="left" vertical="center" wrapText="1"/>
    </xf>
    <xf numFmtId="49" fontId="56" fillId="20" borderId="18" xfId="0" applyNumberFormat="1" applyFont="1" applyFill="1" applyBorder="1" applyAlignment="1">
      <alignment horizontal="center" vertical="center" wrapText="1"/>
    </xf>
    <xf numFmtId="49" fontId="41" fillId="20" borderId="18" xfId="0" applyNumberFormat="1" applyFont="1" applyFill="1" applyBorder="1" applyAlignment="1">
      <alignment vertical="center" wrapText="1"/>
    </xf>
    <xf numFmtId="165" fontId="41" fillId="20" borderId="18" xfId="29" applyNumberFormat="1" applyFont="1" applyFill="1" applyBorder="1" applyAlignment="1" applyProtection="1">
      <alignment horizontal="right" vertical="center" wrapText="1"/>
    </xf>
    <xf numFmtId="0" fontId="41" fillId="28" borderId="18" xfId="0" applyFont="1" applyFill="1" applyBorder="1" applyAlignment="1">
      <alignment horizontal="center" vertical="center" wrapText="1"/>
    </xf>
    <xf numFmtId="0" fontId="41" fillId="28" borderId="18" xfId="0" applyFont="1" applyFill="1" applyBorder="1"/>
    <xf numFmtId="0" fontId="41" fillId="28" borderId="18" xfId="0" applyFont="1" applyFill="1" applyBorder="1" applyAlignment="1">
      <alignment horizontal="center" vertical="top" wrapText="1"/>
    </xf>
    <xf numFmtId="0" fontId="41" fillId="28" borderId="18" xfId="0" applyFont="1" applyFill="1" applyBorder="1" applyAlignment="1">
      <alignment wrapText="1"/>
    </xf>
    <xf numFmtId="165" fontId="41" fillId="28" borderId="18" xfId="0" applyNumberFormat="1" applyFont="1" applyFill="1" applyBorder="1" applyAlignment="1">
      <alignment horizontal="right" vertical="top" wrapText="1"/>
    </xf>
    <xf numFmtId="0" fontId="56" fillId="20" borderId="18" xfId="0" applyFont="1" applyFill="1" applyBorder="1"/>
    <xf numFmtId="0" fontId="41" fillId="20" borderId="18" xfId="0" applyFont="1" applyFill="1" applyBorder="1"/>
    <xf numFmtId="49" fontId="41" fillId="25" borderId="18" xfId="0" applyNumberFormat="1" applyFont="1" applyFill="1" applyBorder="1" applyAlignment="1">
      <alignment horizontal="center" vertical="center" wrapText="1"/>
    </xf>
    <xf numFmtId="49" fontId="41" fillId="25" borderId="18" xfId="0" applyNumberFormat="1" applyFont="1" applyFill="1" applyBorder="1" applyAlignment="1">
      <alignment vertical="center" wrapText="1"/>
    </xf>
    <xf numFmtId="0" fontId="43" fillId="0" borderId="0" xfId="0" applyFont="1" applyAlignment="1">
      <alignment horizontal="center"/>
    </xf>
    <xf numFmtId="0" fontId="43" fillId="0" borderId="0" xfId="0" applyFont="1" applyAlignment="1">
      <alignment vertical="center" wrapText="1"/>
    </xf>
    <xf numFmtId="165" fontId="41" fillId="25" borderId="25" xfId="29" applyNumberFormat="1" applyFont="1" applyFill="1" applyBorder="1" applyAlignment="1" applyProtection="1">
      <alignment horizontal="right" vertical="center" wrapText="1"/>
    </xf>
    <xf numFmtId="165" fontId="41" fillId="26" borderId="25" xfId="29" applyNumberFormat="1" applyFont="1" applyFill="1" applyBorder="1" applyAlignment="1" applyProtection="1">
      <alignment horizontal="right" vertical="center" wrapText="1"/>
    </xf>
    <xf numFmtId="165" fontId="41" fillId="27" borderId="25" xfId="29" applyNumberFormat="1" applyFont="1" applyFill="1" applyBorder="1" applyAlignment="1" applyProtection="1">
      <alignment horizontal="right" vertical="center" wrapText="1"/>
    </xf>
    <xf numFmtId="165" fontId="41" fillId="22" borderId="25" xfId="29" applyNumberFormat="1" applyFont="1" applyFill="1" applyBorder="1" applyAlignment="1" applyProtection="1">
      <alignment horizontal="right" vertical="center" wrapText="1"/>
    </xf>
    <xf numFmtId="165" fontId="56" fillId="0" borderId="25" xfId="29" applyNumberFormat="1" applyFont="1" applyFill="1" applyBorder="1" applyAlignment="1" applyProtection="1">
      <alignment horizontal="right" vertical="center" wrapText="1"/>
    </xf>
    <xf numFmtId="165" fontId="41" fillId="28" borderId="25" xfId="29" applyNumberFormat="1" applyFont="1" applyFill="1" applyBorder="1" applyAlignment="1" applyProtection="1">
      <alignment horizontal="right" vertical="center" wrapText="1"/>
    </xf>
    <xf numFmtId="165" fontId="41" fillId="20" borderId="25" xfId="29" applyNumberFormat="1" applyFont="1" applyFill="1" applyBorder="1" applyAlignment="1" applyProtection="1">
      <alignment horizontal="right" vertical="center" wrapText="1"/>
    </xf>
    <xf numFmtId="165" fontId="41" fillId="28" borderId="25" xfId="0" applyNumberFormat="1" applyFont="1" applyFill="1" applyBorder="1" applyAlignment="1">
      <alignment horizontal="right" vertical="top" wrapText="1"/>
    </xf>
    <xf numFmtId="0" fontId="41" fillId="6" borderId="21" xfId="0" applyFont="1" applyFill="1" applyBorder="1" applyAlignment="1">
      <alignment horizontal="center" vertical="center" wrapText="1"/>
    </xf>
    <xf numFmtId="165" fontId="43" fillId="30" borderId="0" xfId="0" applyNumberFormat="1" applyFont="1" applyFill="1" applyAlignment="1">
      <alignment horizontal="right"/>
    </xf>
    <xf numFmtId="0" fontId="43" fillId="30" borderId="0" xfId="0" applyFont="1" applyFill="1" applyBorder="1"/>
    <xf numFmtId="0" fontId="56" fillId="32" borderId="18" xfId="0" applyFont="1" applyFill="1" applyBorder="1" applyAlignment="1">
      <alignment horizontal="center"/>
    </xf>
    <xf numFmtId="0" fontId="41" fillId="32" borderId="18" xfId="0" applyFont="1" applyFill="1" applyBorder="1" applyAlignment="1">
      <alignment horizontal="center" vertical="center" wrapText="1"/>
    </xf>
    <xf numFmtId="0" fontId="41" fillId="32" borderId="18" xfId="0" applyFont="1" applyFill="1" applyBorder="1" applyAlignment="1">
      <alignment vertical="center" wrapText="1"/>
    </xf>
    <xf numFmtId="165" fontId="41" fillId="32" borderId="18" xfId="0" applyNumberFormat="1" applyFont="1" applyFill="1" applyBorder="1" applyAlignment="1">
      <alignment horizontal="right" vertical="center" wrapText="1"/>
    </xf>
    <xf numFmtId="165" fontId="41" fillId="32" borderId="25" xfId="0" applyNumberFormat="1" applyFont="1" applyFill="1" applyBorder="1" applyAlignment="1">
      <alignment horizontal="right" vertical="center" wrapText="1"/>
    </xf>
    <xf numFmtId="169" fontId="41" fillId="25" borderId="18" xfId="48" applyNumberFormat="1" applyFont="1" applyFill="1" applyBorder="1" applyAlignment="1" applyProtection="1">
      <alignment horizontal="center" vertical="center" wrapText="1"/>
    </xf>
    <xf numFmtId="169" fontId="41" fillId="26" borderId="18" xfId="48" applyNumberFormat="1" applyFont="1" applyFill="1" applyBorder="1" applyAlignment="1">
      <alignment horizontal="center" vertical="center" wrapText="1"/>
    </xf>
    <xf numFmtId="169" fontId="41" fillId="27" borderId="18" xfId="48" applyNumberFormat="1" applyFont="1" applyFill="1" applyBorder="1" applyAlignment="1" applyProtection="1">
      <alignment horizontal="center" vertical="center" wrapText="1"/>
    </xf>
    <xf numFmtId="169" fontId="41" fillId="22" borderId="18" xfId="48" applyNumberFormat="1" applyFont="1" applyFill="1" applyBorder="1" applyAlignment="1" applyProtection="1">
      <alignment horizontal="center" vertical="center" wrapText="1"/>
    </xf>
    <xf numFmtId="169" fontId="56" fillId="0" borderId="18" xfId="48" applyNumberFormat="1" applyFont="1" applyFill="1" applyBorder="1" applyAlignment="1" applyProtection="1">
      <alignment horizontal="center" vertical="center" wrapText="1"/>
    </xf>
    <xf numFmtId="169" fontId="41" fillId="28" borderId="18" xfId="48" applyNumberFormat="1" applyFont="1" applyFill="1" applyBorder="1" applyAlignment="1" applyProtection="1">
      <alignment horizontal="center" vertical="center" wrapText="1"/>
    </xf>
    <xf numFmtId="169" fontId="41" fillId="20" borderId="18" xfId="48" applyNumberFormat="1" applyFont="1" applyFill="1" applyBorder="1" applyAlignment="1" applyProtection="1">
      <alignment horizontal="center" vertical="center" wrapText="1"/>
    </xf>
    <xf numFmtId="169" fontId="41" fillId="28" borderId="18" xfId="48" applyNumberFormat="1" applyFont="1" applyFill="1" applyBorder="1" applyAlignment="1">
      <alignment horizontal="center" vertical="top" wrapText="1"/>
    </xf>
    <xf numFmtId="169" fontId="41" fillId="32" borderId="18" xfId="48" applyNumberFormat="1" applyFont="1" applyFill="1" applyBorder="1" applyAlignment="1">
      <alignment horizontal="center" vertical="center" wrapText="1"/>
    </xf>
    <xf numFmtId="0" fontId="23" fillId="0" borderId="27" xfId="1" applyFont="1" applyFill="1" applyBorder="1" applyAlignment="1">
      <alignment horizontal="center" vertical="center" wrapText="1"/>
    </xf>
    <xf numFmtId="0" fontId="42" fillId="0" borderId="28" xfId="0" applyFont="1" applyFill="1" applyBorder="1" applyAlignment="1">
      <alignment horizontal="center" vertical="center" wrapText="1"/>
    </xf>
    <xf numFmtId="0" fontId="45" fillId="0" borderId="11" xfId="0" applyFont="1" applyBorder="1" applyAlignment="1">
      <alignment horizontal="center"/>
    </xf>
    <xf numFmtId="0" fontId="45" fillId="0" borderId="11" xfId="0" applyFont="1" applyBorder="1"/>
    <xf numFmtId="0" fontId="46" fillId="31" borderId="11" xfId="0" applyFont="1" applyFill="1" applyBorder="1"/>
    <xf numFmtId="0" fontId="45" fillId="0" borderId="11" xfId="0" applyFont="1" applyFill="1" applyBorder="1"/>
    <xf numFmtId="0" fontId="45" fillId="0" borderId="0" xfId="0" applyFont="1" applyAlignment="1">
      <alignment horizontal="center" vertical="center"/>
    </xf>
    <xf numFmtId="0" fontId="46" fillId="0" borderId="0" xfId="0" applyFont="1" applyAlignment="1">
      <alignment horizontal="center" vertical="center"/>
    </xf>
    <xf numFmtId="49" fontId="45" fillId="0" borderId="0" xfId="0" applyNumberFormat="1" applyFont="1" applyAlignment="1">
      <alignment horizontal="left" vertical="center"/>
    </xf>
    <xf numFmtId="0" fontId="45" fillId="0" borderId="0" xfId="0" applyFont="1" applyBorder="1" applyAlignment="1">
      <alignment horizontal="center" vertical="center"/>
    </xf>
    <xf numFmtId="49" fontId="46" fillId="0" borderId="0" xfId="0" applyNumberFormat="1" applyFont="1" applyAlignment="1">
      <alignment horizontal="left" vertical="center"/>
    </xf>
    <xf numFmtId="0" fontId="45" fillId="0" borderId="0" xfId="0" applyFont="1" applyAlignment="1">
      <alignment vertical="center" wrapText="1"/>
    </xf>
    <xf numFmtId="0" fontId="46" fillId="0" borderId="0" xfId="0" applyFont="1" applyBorder="1" applyAlignment="1">
      <alignment horizontal="center" vertical="center"/>
    </xf>
    <xf numFmtId="0" fontId="45" fillId="0" borderId="0" xfId="0" applyFont="1" applyBorder="1"/>
    <xf numFmtId="0" fontId="58" fillId="0" borderId="0" xfId="0" applyFont="1" applyFill="1" applyBorder="1" applyAlignment="1">
      <alignment horizontal="left" vertical="center" wrapText="1"/>
    </xf>
    <xf numFmtId="3" fontId="58" fillId="0" borderId="0" xfId="49" applyNumberFormat="1" applyFont="1" applyFill="1" applyBorder="1" applyAlignment="1">
      <alignment horizontal="left" vertical="center" wrapText="1"/>
    </xf>
    <xf numFmtId="0" fontId="45" fillId="0" borderId="0" xfId="0" applyFont="1" applyAlignment="1">
      <alignment horizontal="left"/>
    </xf>
    <xf numFmtId="0" fontId="46" fillId="0" borderId="0" xfId="0" applyFont="1" applyBorder="1" applyAlignment="1">
      <alignment horizontal="left" vertical="center"/>
    </xf>
    <xf numFmtId="3" fontId="40" fillId="0" borderId="0" xfId="49" applyNumberFormat="1" applyFont="1" applyFill="1" applyBorder="1" applyAlignment="1">
      <alignment horizontal="left" vertical="center" wrapText="1"/>
    </xf>
    <xf numFmtId="3" fontId="22" fillId="0" borderId="0" xfId="49" applyNumberFormat="1" applyFont="1" applyFill="1" applyBorder="1" applyAlignment="1">
      <alignment horizontal="left" vertical="center" wrapText="1"/>
    </xf>
    <xf numFmtId="3" fontId="39" fillId="0" borderId="0" xfId="0" applyNumberFormat="1" applyFont="1" applyBorder="1" applyAlignment="1">
      <alignment horizontal="left" vertical="center" wrapText="1"/>
    </xf>
    <xf numFmtId="0" fontId="21" fillId="0" borderId="0" xfId="0" applyFont="1" applyBorder="1" applyAlignment="1">
      <alignment horizontal="center" vertical="center" wrapText="1"/>
    </xf>
    <xf numFmtId="0" fontId="49" fillId="0" borderId="25" xfId="0" applyFont="1" applyFill="1" applyBorder="1" applyProtection="1"/>
    <xf numFmtId="0" fontId="45" fillId="0" borderId="34" xfId="0" applyFont="1" applyBorder="1" applyAlignment="1">
      <alignment horizontal="center"/>
    </xf>
    <xf numFmtId="0" fontId="45" fillId="0" borderId="19" xfId="0" applyFont="1" applyBorder="1" applyAlignment="1">
      <alignment horizontal="center"/>
    </xf>
    <xf numFmtId="0" fontId="45" fillId="0" borderId="19" xfId="0" applyFont="1" applyBorder="1"/>
    <xf numFmtId="49" fontId="46" fillId="31" borderId="11" xfId="0" applyNumberFormat="1" applyFont="1" applyFill="1" applyBorder="1" applyAlignment="1" applyProtection="1">
      <alignment horizontal="center" vertical="top"/>
    </xf>
    <xf numFmtId="49" fontId="46" fillId="31" borderId="11" xfId="0" applyNumberFormat="1" applyFont="1" applyFill="1" applyBorder="1" applyAlignment="1" applyProtection="1">
      <alignment horizontal="left" vertical="top"/>
    </xf>
    <xf numFmtId="0" fontId="48" fillId="31" borderId="11" xfId="0" applyFont="1" applyFill="1" applyBorder="1" applyAlignment="1" applyProtection="1">
      <alignment vertical="top"/>
    </xf>
    <xf numFmtId="49" fontId="45" fillId="0" borderId="19" xfId="0" applyNumberFormat="1" applyFont="1" applyBorder="1" applyAlignment="1" applyProtection="1">
      <alignment horizontal="center" vertical="center"/>
    </xf>
    <xf numFmtId="49" fontId="45" fillId="0" borderId="34" xfId="0" applyNumberFormat="1" applyFont="1" applyBorder="1" applyAlignment="1" applyProtection="1">
      <alignment horizontal="center" vertical="top"/>
    </xf>
    <xf numFmtId="49" fontId="45" fillId="0" borderId="19" xfId="0" applyNumberFormat="1" applyFont="1" applyBorder="1" applyAlignment="1" applyProtection="1">
      <alignment horizontal="center" vertical="top"/>
    </xf>
    <xf numFmtId="0" fontId="49" fillId="0" borderId="19" xfId="0" applyFont="1" applyFill="1" applyBorder="1" applyProtection="1"/>
    <xf numFmtId="169" fontId="41" fillId="34" borderId="18" xfId="48" applyNumberFormat="1" applyFont="1" applyFill="1" applyBorder="1" applyAlignment="1" applyProtection="1">
      <alignment horizontal="center" vertical="center" wrapText="1"/>
    </xf>
    <xf numFmtId="0" fontId="56" fillId="35" borderId="18" xfId="0" applyFont="1" applyFill="1" applyBorder="1" applyAlignment="1">
      <alignment horizontal="center" vertical="center" wrapText="1"/>
    </xf>
    <xf numFmtId="49" fontId="56" fillId="35" borderId="18" xfId="0" applyNumberFormat="1" applyFont="1" applyFill="1" applyBorder="1" applyAlignment="1">
      <alignment horizontal="center" vertical="center" wrapText="1"/>
    </xf>
    <xf numFmtId="0" fontId="56" fillId="36" borderId="18" xfId="0" applyFont="1" applyFill="1" applyBorder="1" applyAlignment="1">
      <alignment horizontal="center" vertical="center" wrapText="1"/>
    </xf>
    <xf numFmtId="49" fontId="56" fillId="36" borderId="18" xfId="0" applyNumberFormat="1" applyFont="1" applyFill="1" applyBorder="1" applyAlignment="1">
      <alignment horizontal="center" vertical="center" wrapText="1"/>
    </xf>
    <xf numFmtId="165" fontId="45" fillId="0" borderId="0" xfId="0" applyNumberFormat="1" applyFont="1"/>
    <xf numFmtId="3" fontId="45" fillId="0" borderId="11" xfId="0" applyNumberFormat="1" applyFont="1" applyBorder="1" applyAlignment="1">
      <alignment horizontal="right"/>
    </xf>
    <xf numFmtId="0" fontId="45" fillId="0" borderId="11" xfId="0" applyFont="1" applyBorder="1" applyAlignment="1">
      <alignment horizontal="center" vertical="center" wrapText="1"/>
    </xf>
    <xf numFmtId="3" fontId="45" fillId="0" borderId="11" xfId="0" applyNumberFormat="1" applyFont="1" applyBorder="1"/>
    <xf numFmtId="0" fontId="21" fillId="0" borderId="11" xfId="46" applyNumberFormat="1" applyFont="1" applyBorder="1" applyAlignment="1" applyProtection="1">
      <alignment horizontal="center" vertical="center" wrapText="1"/>
    </xf>
    <xf numFmtId="3" fontId="21" fillId="0" borderId="11" xfId="46" applyNumberFormat="1" applyFont="1" applyFill="1" applyBorder="1" applyAlignment="1" applyProtection="1">
      <alignment horizontal="left" vertical="center"/>
    </xf>
    <xf numFmtId="49" fontId="1" fillId="31" borderId="10" xfId="1" applyNumberFormat="1" applyFont="1" applyFill="1" applyBorder="1" applyAlignment="1">
      <alignment horizontal="center" vertical="center"/>
    </xf>
    <xf numFmtId="0" fontId="1" fillId="31" borderId="10" xfId="1" applyFont="1" applyFill="1" applyBorder="1" applyAlignment="1">
      <alignment horizontal="center" vertical="center" wrapText="1"/>
    </xf>
    <xf numFmtId="3" fontId="2" fillId="31" borderId="10" xfId="1" applyNumberFormat="1" applyFont="1" applyFill="1" applyBorder="1"/>
    <xf numFmtId="3" fontId="1" fillId="31" borderId="10" xfId="29" applyNumberFormat="1" applyFont="1" applyFill="1" applyBorder="1" applyAlignment="1" applyProtection="1">
      <alignment horizontal="right" vertical="center"/>
    </xf>
    <xf numFmtId="0" fontId="46" fillId="0" borderId="11" xfId="0" applyFont="1" applyBorder="1" applyAlignment="1">
      <alignment horizontal="left" vertical="center"/>
    </xf>
    <xf numFmtId="3" fontId="46" fillId="0" borderId="11" xfId="0" applyNumberFormat="1" applyFont="1" applyBorder="1" applyAlignment="1">
      <alignment vertical="center"/>
    </xf>
    <xf numFmtId="49" fontId="42" fillId="0" borderId="28" xfId="0" applyNumberFormat="1" applyFont="1" applyFill="1" applyBorder="1" applyAlignment="1">
      <alignment horizontal="center" vertical="center"/>
    </xf>
    <xf numFmtId="0" fontId="42" fillId="0" borderId="28" xfId="0" applyFont="1" applyFill="1" applyBorder="1" applyAlignment="1">
      <alignment horizontal="center" vertical="center"/>
    </xf>
    <xf numFmtId="49" fontId="44" fillId="6" borderId="11" xfId="0" applyNumberFormat="1" applyFont="1" applyFill="1" applyBorder="1" applyAlignment="1">
      <alignment horizontal="center" vertical="center" wrapText="1"/>
    </xf>
    <xf numFmtId="0" fontId="44" fillId="6" borderId="11" xfId="0" applyFont="1" applyFill="1" applyBorder="1" applyAlignment="1">
      <alignment horizontal="center" vertical="center" wrapText="1" shrinkToFit="1"/>
    </xf>
    <xf numFmtId="0" fontId="45" fillId="0" borderId="35" xfId="0" applyFont="1" applyBorder="1" applyAlignment="1">
      <alignment horizontal="center"/>
    </xf>
    <xf numFmtId="0" fontId="49" fillId="0" borderId="18" xfId="0" applyFont="1" applyFill="1" applyBorder="1" applyProtection="1"/>
    <xf numFmtId="0" fontId="45" fillId="0" borderId="18" xfId="0" applyFont="1" applyBorder="1" applyAlignment="1">
      <alignment horizontal="center" vertical="center"/>
    </xf>
    <xf numFmtId="0" fontId="48" fillId="31" borderId="11" xfId="0" applyFont="1" applyFill="1" applyBorder="1" applyAlignment="1" applyProtection="1">
      <alignment horizontal="left" vertical="top"/>
    </xf>
    <xf numFmtId="0" fontId="49" fillId="0" borderId="19" xfId="0" applyFont="1" applyFill="1" applyBorder="1" applyAlignment="1" applyProtection="1">
      <alignment horizontal="left"/>
    </xf>
    <xf numFmtId="0" fontId="49" fillId="0" borderId="18" xfId="0" applyFont="1" applyFill="1" applyBorder="1" applyAlignment="1" applyProtection="1">
      <alignment horizontal="left"/>
    </xf>
    <xf numFmtId="0" fontId="50" fillId="0" borderId="19" xfId="0" applyFont="1" applyBorder="1" applyAlignment="1">
      <alignment horizontal="left"/>
    </xf>
    <xf numFmtId="0" fontId="50" fillId="0" borderId="18" xfId="0" applyFont="1" applyBorder="1" applyAlignment="1">
      <alignment horizontal="left"/>
    </xf>
    <xf numFmtId="0" fontId="50" fillId="0" borderId="34" xfId="0" applyFont="1" applyBorder="1" applyAlignment="1">
      <alignment horizontal="left"/>
    </xf>
    <xf numFmtId="0" fontId="49" fillId="0" borderId="19" xfId="0" applyFont="1" applyFill="1" applyBorder="1" applyAlignment="1" applyProtection="1">
      <alignment horizontal="left" vertical="top"/>
    </xf>
    <xf numFmtId="0" fontId="49" fillId="0" borderId="18" xfId="0" applyFont="1" applyFill="1" applyBorder="1" applyAlignment="1" applyProtection="1">
      <alignment horizontal="left" vertical="top"/>
    </xf>
    <xf numFmtId="0" fontId="49" fillId="0" borderId="19" xfId="0" applyFont="1" applyBorder="1" applyAlignment="1" applyProtection="1">
      <alignment horizontal="left" vertical="top"/>
    </xf>
    <xf numFmtId="0" fontId="49" fillId="0" borderId="18" xfId="0" applyFont="1" applyBorder="1" applyAlignment="1" applyProtection="1">
      <alignment horizontal="left" vertical="top"/>
    </xf>
    <xf numFmtId="0" fontId="41" fillId="6" borderId="11" xfId="1" applyFont="1" applyFill="1" applyBorder="1" applyAlignment="1">
      <alignment horizontal="left" vertical="center" wrapText="1"/>
    </xf>
    <xf numFmtId="49" fontId="55" fillId="0" borderId="11" xfId="0" applyNumberFormat="1" applyFont="1" applyBorder="1" applyAlignment="1">
      <alignment horizontal="center"/>
    </xf>
    <xf numFmtId="49" fontId="55" fillId="0" borderId="11" xfId="0" applyNumberFormat="1" applyFont="1" applyBorder="1" applyAlignment="1">
      <alignment vertical="top"/>
    </xf>
    <xf numFmtId="49" fontId="45" fillId="0" borderId="0" xfId="0" applyNumberFormat="1" applyFont="1"/>
    <xf numFmtId="49" fontId="55" fillId="0" borderId="11" xfId="0" applyNumberFormat="1" applyFont="1" applyBorder="1"/>
    <xf numFmtId="49" fontId="45" fillId="0" borderId="11" xfId="0" applyNumberFormat="1" applyFont="1" applyBorder="1"/>
    <xf numFmtId="3" fontId="45" fillId="0" borderId="0" xfId="47" applyNumberFormat="1" applyFont="1" applyAlignment="1">
      <alignment horizontal="right" vertical="center"/>
    </xf>
    <xf numFmtId="3" fontId="45" fillId="0" borderId="0" xfId="47" applyNumberFormat="1" applyFont="1" applyAlignment="1">
      <alignment vertical="center"/>
    </xf>
    <xf numFmtId="3" fontId="45" fillId="0" borderId="0" xfId="47" applyNumberFormat="1" applyFont="1" applyBorder="1" applyAlignment="1">
      <alignment horizontal="right" vertical="center"/>
    </xf>
    <xf numFmtId="3" fontId="45" fillId="0" borderId="0" xfId="47" applyNumberFormat="1" applyFont="1" applyBorder="1" applyAlignment="1">
      <alignment vertical="center"/>
    </xf>
    <xf numFmtId="4" fontId="49" fillId="0" borderId="18" xfId="47" applyNumberFormat="1" applyFont="1" applyFill="1" applyBorder="1" applyAlignment="1" applyProtection="1"/>
    <xf numFmtId="4" fontId="45" fillId="0" borderId="0" xfId="47" applyNumberFormat="1" applyFont="1" applyAlignment="1">
      <alignment horizontal="right"/>
    </xf>
    <xf numFmtId="4" fontId="45" fillId="0" borderId="0" xfId="47" applyNumberFormat="1" applyFont="1"/>
    <xf numFmtId="4" fontId="48" fillId="31" borderId="11" xfId="47" applyNumberFormat="1" applyFont="1" applyFill="1" applyBorder="1" applyProtection="1"/>
    <xf numFmtId="4" fontId="60" fillId="31" borderId="11" xfId="47" applyNumberFormat="1" applyFont="1" applyFill="1" applyBorder="1"/>
    <xf numFmtId="169" fontId="50" fillId="31" borderId="11" xfId="48" applyNumberFormat="1" applyFont="1" applyFill="1" applyBorder="1" applyAlignment="1">
      <alignment horizontal="right"/>
    </xf>
    <xf numFmtId="0" fontId="60" fillId="31" borderId="11" xfId="0" applyFont="1" applyFill="1" applyBorder="1"/>
    <xf numFmtId="0" fontId="50" fillId="31" borderId="11" xfId="0" applyFont="1" applyFill="1" applyBorder="1"/>
    <xf numFmtId="4" fontId="50" fillId="0" borderId="19" xfId="47" applyNumberFormat="1" applyFont="1" applyBorder="1"/>
    <xf numFmtId="169" fontId="50" fillId="0" borderId="19" xfId="48" applyNumberFormat="1" applyFont="1" applyBorder="1" applyAlignment="1">
      <alignment horizontal="right"/>
    </xf>
    <xf numFmtId="0" fontId="50" fillId="0" borderId="19" xfId="0" applyFont="1" applyBorder="1"/>
    <xf numFmtId="4" fontId="50" fillId="0" borderId="18" xfId="47" applyNumberFormat="1" applyFont="1" applyBorder="1"/>
    <xf numFmtId="169" fontId="50" fillId="0" borderId="18" xfId="48" applyNumberFormat="1" applyFont="1" applyBorder="1" applyAlignment="1">
      <alignment horizontal="right"/>
    </xf>
    <xf numFmtId="0" fontId="50" fillId="0" borderId="18" xfId="0" applyFont="1" applyBorder="1"/>
    <xf numFmtId="0" fontId="50" fillId="0" borderId="25" xfId="0" applyFont="1" applyBorder="1"/>
    <xf numFmtId="0" fontId="50" fillId="0" borderId="34" xfId="0" applyFont="1" applyBorder="1"/>
    <xf numFmtId="0" fontId="50" fillId="0" borderId="35" xfId="0" applyFont="1" applyBorder="1"/>
    <xf numFmtId="4" fontId="50" fillId="0" borderId="19" xfId="47" applyNumberFormat="1" applyFont="1" applyFill="1" applyBorder="1"/>
    <xf numFmtId="4" fontId="50" fillId="0" borderId="18" xfId="47" applyNumberFormat="1" applyFont="1" applyFill="1" applyBorder="1"/>
    <xf numFmtId="4" fontId="43" fillId="6" borderId="11" xfId="47" applyNumberFormat="1" applyFont="1" applyFill="1" applyBorder="1" applyAlignment="1">
      <alignment horizontal="right" vertical="center" wrapText="1"/>
    </xf>
    <xf numFmtId="169" fontId="43" fillId="6" borderId="11" xfId="48" applyNumberFormat="1" applyFont="1" applyFill="1" applyBorder="1" applyAlignment="1">
      <alignment horizontal="right" vertical="center" wrapText="1"/>
    </xf>
    <xf numFmtId="3" fontId="43" fillId="6" borderId="11" xfId="1" applyNumberFormat="1" applyFont="1" applyFill="1" applyBorder="1" applyAlignment="1">
      <alignment horizontal="right" vertical="center" wrapText="1"/>
    </xf>
    <xf numFmtId="0" fontId="43" fillId="6" borderId="11" xfId="1" applyFont="1" applyFill="1" applyBorder="1" applyAlignment="1">
      <alignment horizontal="right" vertical="center" wrapText="1"/>
    </xf>
    <xf numFmtId="0" fontId="47" fillId="0" borderId="11" xfId="47" applyNumberFormat="1" applyFont="1" applyFill="1" applyBorder="1" applyAlignment="1">
      <alignment horizontal="center" vertical="center" wrapText="1"/>
    </xf>
    <xf numFmtId="0" fontId="47" fillId="0" borderId="11" xfId="1" applyNumberFormat="1" applyFont="1" applyFill="1" applyBorder="1" applyAlignment="1">
      <alignment horizontal="center" vertical="center" wrapText="1"/>
    </xf>
    <xf numFmtId="0" fontId="45" fillId="0" borderId="43" xfId="0" applyFont="1" applyBorder="1" applyAlignment="1">
      <alignment horizontal="center" vertical="center"/>
    </xf>
    <xf numFmtId="3" fontId="45" fillId="0" borderId="44" xfId="47" applyNumberFormat="1" applyFont="1" applyBorder="1" applyAlignment="1">
      <alignment vertical="center"/>
    </xf>
    <xf numFmtId="0" fontId="45" fillId="0" borderId="46" xfId="0" applyFont="1" applyBorder="1" applyAlignment="1">
      <alignment horizontal="center" vertical="center"/>
    </xf>
    <xf numFmtId="3" fontId="45" fillId="0" borderId="47" xfId="47" applyNumberFormat="1" applyFont="1" applyBorder="1" applyAlignment="1">
      <alignment horizontal="right" vertical="center"/>
    </xf>
    <xf numFmtId="3" fontId="45" fillId="0" borderId="47" xfId="47" applyNumberFormat="1" applyFont="1" applyBorder="1" applyAlignment="1">
      <alignment vertical="center"/>
    </xf>
    <xf numFmtId="3" fontId="45" fillId="0" borderId="48" xfId="47" applyNumberFormat="1" applyFont="1" applyBorder="1" applyAlignment="1">
      <alignment vertical="center"/>
    </xf>
    <xf numFmtId="0" fontId="45" fillId="0" borderId="44" xfId="0" applyFont="1" applyBorder="1" applyAlignment="1">
      <alignment horizontal="center" vertical="center"/>
    </xf>
    <xf numFmtId="0" fontId="45" fillId="0" borderId="47" xfId="0" applyFont="1" applyBorder="1" applyAlignment="1">
      <alignment horizontal="center" vertical="center"/>
    </xf>
    <xf numFmtId="0" fontId="45" fillId="0" borderId="48" xfId="0" applyFont="1" applyBorder="1" applyAlignment="1">
      <alignment horizontal="center" vertical="center"/>
    </xf>
    <xf numFmtId="0" fontId="46" fillId="29" borderId="51" xfId="0" applyFont="1" applyFill="1" applyBorder="1" applyAlignment="1">
      <alignment horizontal="center" vertical="center"/>
    </xf>
    <xf numFmtId="49" fontId="45" fillId="29" borderId="20" xfId="0" applyNumberFormat="1" applyFont="1" applyFill="1" applyBorder="1" applyAlignment="1">
      <alignment horizontal="left" vertical="center"/>
    </xf>
    <xf numFmtId="0" fontId="45" fillId="29" borderId="20" xfId="0" applyFont="1" applyFill="1" applyBorder="1" applyAlignment="1">
      <alignment horizontal="center" vertical="center"/>
    </xf>
    <xf numFmtId="0" fontId="46" fillId="29" borderId="20" xfId="0" applyFont="1" applyFill="1" applyBorder="1" applyAlignment="1">
      <alignment vertical="center" wrapText="1"/>
    </xf>
    <xf numFmtId="3" fontId="45" fillId="29" borderId="20" xfId="47" applyNumberFormat="1" applyFont="1" applyFill="1" applyBorder="1" applyAlignment="1">
      <alignment horizontal="right" vertical="center"/>
    </xf>
    <xf numFmtId="3" fontId="45" fillId="29" borderId="20" xfId="47" applyNumberFormat="1" applyFont="1" applyFill="1" applyBorder="1" applyAlignment="1">
      <alignment vertical="center"/>
    </xf>
    <xf numFmtId="3" fontId="45" fillId="29" borderId="45" xfId="47" applyNumberFormat="1" applyFont="1" applyFill="1" applyBorder="1" applyAlignment="1">
      <alignment vertical="center"/>
    </xf>
    <xf numFmtId="0" fontId="45" fillId="0" borderId="41" xfId="0" applyFont="1" applyBorder="1" applyAlignment="1">
      <alignment horizontal="center" vertical="center"/>
    </xf>
    <xf numFmtId="0" fontId="45" fillId="0" borderId="33" xfId="0" applyFont="1" applyBorder="1" applyAlignment="1">
      <alignment horizontal="center" vertical="center"/>
    </xf>
    <xf numFmtId="49" fontId="46" fillId="0" borderId="33" xfId="0" applyNumberFormat="1" applyFont="1" applyBorder="1" applyAlignment="1">
      <alignment horizontal="left" vertical="center"/>
    </xf>
    <xf numFmtId="0" fontId="46" fillId="0" borderId="33" xfId="0" applyFont="1" applyBorder="1" applyAlignment="1">
      <alignment horizontal="center" vertical="center"/>
    </xf>
    <xf numFmtId="0" fontId="45" fillId="0" borderId="42" xfId="0" applyFont="1" applyBorder="1" applyAlignment="1">
      <alignment horizontal="center" vertical="center"/>
    </xf>
    <xf numFmtId="49" fontId="46" fillId="0" borderId="0" xfId="0" applyNumberFormat="1" applyFont="1" applyBorder="1" applyAlignment="1">
      <alignment horizontal="left" vertical="center"/>
    </xf>
    <xf numFmtId="0" fontId="57" fillId="0" borderId="0" xfId="0" applyFont="1" applyBorder="1" applyAlignment="1">
      <alignment horizontal="center" vertical="center"/>
    </xf>
    <xf numFmtId="0" fontId="57" fillId="0" borderId="44" xfId="0" applyFont="1" applyBorder="1" applyAlignment="1">
      <alignment horizontal="center" vertical="center"/>
    </xf>
    <xf numFmtId="49" fontId="45" fillId="0" borderId="0" xfId="0" applyNumberFormat="1" applyFont="1" applyBorder="1" applyAlignment="1">
      <alignment horizontal="left" vertical="center"/>
    </xf>
    <xf numFmtId="49" fontId="45" fillId="0" borderId="47" xfId="0" applyNumberFormat="1" applyFont="1" applyBorder="1" applyAlignment="1">
      <alignment horizontal="left" vertical="center"/>
    </xf>
    <xf numFmtId="3" fontId="45" fillId="0" borderId="49" xfId="47" applyNumberFormat="1" applyFont="1" applyBorder="1" applyAlignment="1">
      <alignment horizontal="right" vertical="center"/>
    </xf>
    <xf numFmtId="3" fontId="45" fillId="0" borderId="52" xfId="47" applyNumberFormat="1" applyFont="1" applyBorder="1" applyAlignment="1">
      <alignment horizontal="right" vertical="center"/>
    </xf>
    <xf numFmtId="3" fontId="45" fillId="0" borderId="49" xfId="47" applyNumberFormat="1" applyFont="1" applyBorder="1" applyAlignment="1">
      <alignment vertical="center"/>
    </xf>
    <xf numFmtId="3" fontId="45" fillId="0" borderId="52" xfId="47" applyNumberFormat="1" applyFont="1" applyBorder="1" applyAlignment="1">
      <alignment vertical="center"/>
    </xf>
    <xf numFmtId="3" fontId="22" fillId="29" borderId="20" xfId="49" applyNumberFormat="1" applyFont="1" applyFill="1" applyBorder="1" applyAlignment="1">
      <alignment horizontal="left" vertical="center" wrapText="1"/>
    </xf>
    <xf numFmtId="3" fontId="22" fillId="0" borderId="33" xfId="49" applyNumberFormat="1" applyFont="1" applyFill="1" applyBorder="1" applyAlignment="1">
      <alignment horizontal="left" vertical="center" wrapText="1"/>
    </xf>
    <xf numFmtId="3" fontId="45" fillId="0" borderId="33" xfId="47" applyNumberFormat="1" applyFont="1" applyBorder="1" applyAlignment="1">
      <alignment horizontal="right" vertical="center"/>
    </xf>
    <xf numFmtId="3" fontId="45" fillId="0" borderId="33" xfId="47" applyNumberFormat="1" applyFont="1" applyBorder="1" applyAlignment="1">
      <alignment vertical="center"/>
    </xf>
    <xf numFmtId="3" fontId="45" fillId="0" borderId="42" xfId="47" applyNumberFormat="1" applyFont="1" applyBorder="1" applyAlignment="1">
      <alignment vertical="center"/>
    </xf>
    <xf numFmtId="0" fontId="45" fillId="0" borderId="52" xfId="0" applyFont="1" applyBorder="1" applyAlignment="1">
      <alignment horizontal="center" vertical="center"/>
    </xf>
    <xf numFmtId="0" fontId="57" fillId="0" borderId="52" xfId="0" applyFont="1" applyBorder="1" applyAlignment="1">
      <alignment horizontal="center" vertical="center"/>
    </xf>
    <xf numFmtId="3" fontId="45" fillId="0" borderId="50" xfId="47" applyNumberFormat="1" applyFont="1" applyBorder="1" applyAlignment="1">
      <alignment horizontal="right" vertical="center"/>
    </xf>
    <xf numFmtId="3" fontId="45" fillId="0" borderId="50" xfId="47" applyNumberFormat="1" applyFont="1" applyBorder="1" applyAlignment="1">
      <alignment vertical="center"/>
    </xf>
    <xf numFmtId="3" fontId="46" fillId="37" borderId="40" xfId="47" applyNumberFormat="1" applyFont="1" applyFill="1" applyBorder="1" applyAlignment="1">
      <alignment horizontal="right" vertical="center"/>
    </xf>
    <xf numFmtId="49" fontId="46" fillId="0" borderId="47" xfId="0" applyNumberFormat="1" applyFont="1" applyBorder="1" applyAlignment="1">
      <alignment horizontal="left" vertical="center"/>
    </xf>
    <xf numFmtId="0" fontId="46" fillId="0" borderId="47" xfId="0" applyFont="1" applyBorder="1" applyAlignment="1">
      <alignment horizontal="center" vertical="center"/>
    </xf>
    <xf numFmtId="0" fontId="45" fillId="0" borderId="49" xfId="0" applyFont="1" applyBorder="1" applyAlignment="1">
      <alignment horizontal="center" vertical="center"/>
    </xf>
    <xf numFmtId="3" fontId="40" fillId="0" borderId="33" xfId="49" applyNumberFormat="1" applyFont="1" applyFill="1" applyBorder="1" applyAlignment="1">
      <alignment horizontal="left" vertical="center" wrapText="1"/>
    </xf>
    <xf numFmtId="3" fontId="46" fillId="36" borderId="40" xfId="47" applyNumberFormat="1" applyFont="1" applyFill="1" applyBorder="1" applyAlignment="1">
      <alignment horizontal="right" vertical="center"/>
    </xf>
    <xf numFmtId="3" fontId="45" fillId="0" borderId="20" xfId="47" applyNumberFormat="1" applyFont="1" applyBorder="1" applyAlignment="1">
      <alignment vertical="center"/>
    </xf>
    <xf numFmtId="3" fontId="45" fillId="0" borderId="45" xfId="47" applyNumberFormat="1" applyFont="1" applyBorder="1" applyAlignment="1">
      <alignment vertical="center"/>
    </xf>
    <xf numFmtId="3" fontId="46" fillId="0" borderId="49" xfId="47" applyNumberFormat="1" applyFont="1" applyBorder="1" applyAlignment="1">
      <alignment vertical="center"/>
    </xf>
    <xf numFmtId="3" fontId="46" fillId="0" borderId="52" xfId="47" applyNumberFormat="1" applyFont="1" applyBorder="1" applyAlignment="1">
      <alignment vertical="center"/>
    </xf>
    <xf numFmtId="3" fontId="45" fillId="0" borderId="41" xfId="47" applyNumberFormat="1" applyFont="1" applyBorder="1" applyAlignment="1">
      <alignment horizontal="right" vertical="center"/>
    </xf>
    <xf numFmtId="3" fontId="45" fillId="0" borderId="43" xfId="47" applyNumberFormat="1" applyFont="1" applyBorder="1" applyAlignment="1">
      <alignment horizontal="right" vertical="center"/>
    </xf>
    <xf numFmtId="0" fontId="45" fillId="0" borderId="51" xfId="0" applyFont="1" applyBorder="1" applyAlignment="1">
      <alignment horizontal="center" vertical="center"/>
    </xf>
    <xf numFmtId="3" fontId="22" fillId="0" borderId="20" xfId="49" applyNumberFormat="1" applyFont="1" applyFill="1" applyBorder="1" applyAlignment="1">
      <alignment horizontal="left" vertical="center" wrapText="1"/>
    </xf>
    <xf numFmtId="3" fontId="45" fillId="0" borderId="20" xfId="47" applyNumberFormat="1" applyFont="1" applyBorder="1" applyAlignment="1">
      <alignment horizontal="right" vertical="center"/>
    </xf>
    <xf numFmtId="0" fontId="46" fillId="0" borderId="33" xfId="0" applyFont="1" applyBorder="1" applyAlignment="1">
      <alignment vertical="center" wrapText="1"/>
    </xf>
    <xf numFmtId="3" fontId="46" fillId="0" borderId="33" xfId="47" applyNumberFormat="1" applyFont="1" applyBorder="1" applyAlignment="1">
      <alignment vertical="center"/>
    </xf>
    <xf numFmtId="0" fontId="46" fillId="0" borderId="0" xfId="0" applyFont="1" applyBorder="1" applyAlignment="1">
      <alignment vertical="center" wrapText="1"/>
    </xf>
    <xf numFmtId="3" fontId="46" fillId="0" borderId="0" xfId="47" applyNumberFormat="1" applyFont="1" applyBorder="1" applyAlignment="1">
      <alignment vertical="center"/>
    </xf>
    <xf numFmtId="0" fontId="57" fillId="0" borderId="0" xfId="0" applyFont="1" applyBorder="1" applyAlignment="1">
      <alignment vertical="center" wrapText="1"/>
    </xf>
    <xf numFmtId="0" fontId="45" fillId="0" borderId="0" xfId="0" applyFont="1" applyBorder="1" applyAlignment="1">
      <alignment vertical="center" wrapText="1"/>
    </xf>
    <xf numFmtId="0" fontId="46" fillId="0" borderId="49" xfId="0" applyFont="1" applyBorder="1" applyAlignment="1">
      <alignment horizontal="center" vertical="center"/>
    </xf>
    <xf numFmtId="0" fontId="46" fillId="0" borderId="52" xfId="0" applyFont="1" applyBorder="1" applyAlignment="1">
      <alignment horizontal="center" vertical="center"/>
    </xf>
    <xf numFmtId="3" fontId="46" fillId="0" borderId="49" xfId="47" applyNumberFormat="1" applyFont="1" applyBorder="1" applyAlignment="1">
      <alignment horizontal="right" vertical="center"/>
    </xf>
    <xf numFmtId="3" fontId="46" fillId="0" borderId="52" xfId="47" applyNumberFormat="1" applyFont="1" applyBorder="1" applyAlignment="1">
      <alignment horizontal="right" vertical="center"/>
    </xf>
    <xf numFmtId="0" fontId="46" fillId="0" borderId="33" xfId="0" applyFont="1" applyBorder="1" applyAlignment="1">
      <alignment horizontal="left" vertical="center"/>
    </xf>
    <xf numFmtId="0" fontId="57" fillId="0" borderId="0" xfId="0" applyFont="1" applyBorder="1" applyAlignment="1">
      <alignment horizontal="left" vertical="center"/>
    </xf>
    <xf numFmtId="0" fontId="45" fillId="0" borderId="0" xfId="0" applyFont="1" applyBorder="1" applyAlignment="1">
      <alignment horizontal="left" vertical="center"/>
    </xf>
    <xf numFmtId="0" fontId="45" fillId="0" borderId="43" xfId="0" applyFont="1" applyBorder="1" applyAlignment="1">
      <alignment horizontal="left" vertical="center"/>
    </xf>
    <xf numFmtId="0" fontId="45" fillId="0" borderId="47" xfId="0" applyFont="1" applyBorder="1" applyAlignment="1">
      <alignment horizontal="left" vertical="center"/>
    </xf>
    <xf numFmtId="0" fontId="45" fillId="0" borderId="41" xfId="0" applyFont="1" applyBorder="1" applyAlignment="1">
      <alignment horizontal="left" vertical="center"/>
    </xf>
    <xf numFmtId="0" fontId="46" fillId="0" borderId="49" xfId="0" applyFont="1" applyBorder="1" applyAlignment="1">
      <alignment horizontal="left" vertical="center"/>
    </xf>
    <xf numFmtId="0" fontId="46" fillId="0" borderId="52" xfId="0" applyFont="1" applyBorder="1" applyAlignment="1">
      <alignment horizontal="left" vertical="center"/>
    </xf>
    <xf numFmtId="0" fontId="61" fillId="0" borderId="52" xfId="0" applyFont="1" applyBorder="1" applyAlignment="1">
      <alignment horizontal="left" vertical="center"/>
    </xf>
    <xf numFmtId="0" fontId="45" fillId="0" borderId="0" xfId="0" applyFont="1" applyFill="1" applyBorder="1" applyAlignment="1">
      <alignment horizontal="center" vertical="center"/>
    </xf>
    <xf numFmtId="0" fontId="57" fillId="0" borderId="43" xfId="0" applyFont="1" applyBorder="1" applyAlignment="1">
      <alignment horizontal="left" vertical="center"/>
    </xf>
    <xf numFmtId="0" fontId="45" fillId="0" borderId="46" xfId="0" applyFont="1" applyFill="1" applyBorder="1" applyAlignment="1">
      <alignment horizontal="center" vertical="center"/>
    </xf>
    <xf numFmtId="0" fontId="45" fillId="0" borderId="47" xfId="0" applyFont="1" applyFill="1" applyBorder="1" applyAlignment="1">
      <alignment horizontal="center" vertical="center"/>
    </xf>
    <xf numFmtId="0" fontId="45" fillId="0" borderId="20" xfId="0" applyFont="1" applyBorder="1" applyAlignment="1">
      <alignment horizontal="center" vertical="center"/>
    </xf>
    <xf numFmtId="49" fontId="45" fillId="0" borderId="20" xfId="0" applyNumberFormat="1" applyFont="1" applyBorder="1" applyAlignment="1">
      <alignment horizontal="left" vertical="center"/>
    </xf>
    <xf numFmtId="0" fontId="45" fillId="0" borderId="41" xfId="0" applyFont="1" applyFill="1" applyBorder="1" applyAlignment="1">
      <alignment horizontal="center" vertical="center"/>
    </xf>
    <xf numFmtId="0" fontId="46" fillId="0" borderId="42" xfId="0" applyFont="1" applyFill="1" applyBorder="1" applyAlignment="1">
      <alignment vertical="center" wrapText="1"/>
    </xf>
    <xf numFmtId="3" fontId="45" fillId="0" borderId="0" xfId="47" applyNumberFormat="1" applyFont="1" applyFill="1" applyBorder="1" applyAlignment="1">
      <alignment horizontal="right" vertical="center"/>
    </xf>
    <xf numFmtId="3" fontId="45" fillId="0" borderId="0" xfId="47" applyNumberFormat="1" applyFont="1" applyFill="1" applyBorder="1" applyAlignment="1">
      <alignment vertical="center"/>
    </xf>
    <xf numFmtId="3" fontId="45" fillId="0" borderId="44" xfId="47" applyNumberFormat="1" applyFont="1" applyFill="1" applyBorder="1" applyAlignment="1">
      <alignment vertical="center"/>
    </xf>
    <xf numFmtId="49" fontId="46" fillId="0" borderId="47" xfId="0" applyNumberFormat="1" applyFont="1" applyFill="1" applyBorder="1" applyAlignment="1">
      <alignment horizontal="left" vertical="center"/>
    </xf>
    <xf numFmtId="0" fontId="46" fillId="0" borderId="47" xfId="0" applyFont="1" applyFill="1" applyBorder="1" applyAlignment="1">
      <alignment horizontal="center" vertical="center"/>
    </xf>
    <xf numFmtId="4" fontId="45" fillId="0" borderId="52" xfId="47" applyNumberFormat="1" applyFont="1" applyBorder="1" applyAlignment="1">
      <alignment horizontal="right" vertical="center"/>
    </xf>
    <xf numFmtId="4" fontId="45" fillId="0" borderId="0" xfId="47" applyNumberFormat="1" applyFont="1" applyBorder="1" applyAlignment="1">
      <alignment vertical="center"/>
    </xf>
    <xf numFmtId="4" fontId="45" fillId="0" borderId="52" xfId="47" applyNumberFormat="1" applyFont="1" applyBorder="1" applyAlignment="1">
      <alignment vertical="center"/>
    </xf>
    <xf numFmtId="3" fontId="46" fillId="38" borderId="20" xfId="47" applyNumberFormat="1" applyFont="1" applyFill="1" applyBorder="1" applyAlignment="1">
      <alignment horizontal="right" vertical="center"/>
    </xf>
    <xf numFmtId="3" fontId="46" fillId="38" borderId="40" xfId="47" applyNumberFormat="1" applyFont="1" applyFill="1" applyBorder="1" applyAlignment="1">
      <alignment horizontal="right" vertical="center"/>
    </xf>
    <xf numFmtId="3" fontId="46" fillId="38" borderId="45" xfId="47" applyNumberFormat="1" applyFont="1" applyFill="1" applyBorder="1" applyAlignment="1">
      <alignment horizontal="right" vertical="center"/>
    </xf>
    <xf numFmtId="0" fontId="45" fillId="0" borderId="40" xfId="0" applyFont="1" applyBorder="1" applyAlignment="1">
      <alignment horizontal="left" vertical="center"/>
    </xf>
    <xf numFmtId="3" fontId="45" fillId="40" borderId="50" xfId="47" applyNumberFormat="1" applyFont="1" applyFill="1" applyBorder="1" applyAlignment="1">
      <alignment horizontal="right" vertical="center"/>
    </xf>
    <xf numFmtId="3" fontId="45" fillId="40" borderId="47" xfId="47" applyNumberFormat="1" applyFont="1" applyFill="1" applyBorder="1" applyAlignment="1">
      <alignment vertical="center"/>
    </xf>
    <xf numFmtId="3" fontId="45" fillId="40" borderId="50" xfId="47" applyNumberFormat="1" applyFont="1" applyFill="1" applyBorder="1" applyAlignment="1">
      <alignment vertical="center"/>
    </xf>
    <xf numFmtId="3" fontId="46" fillId="40" borderId="40" xfId="47" applyNumberFormat="1" applyFont="1" applyFill="1" applyBorder="1" applyAlignment="1">
      <alignment horizontal="right" vertical="center"/>
    </xf>
    <xf numFmtId="3" fontId="46" fillId="40" borderId="20" xfId="47" applyNumberFormat="1" applyFont="1" applyFill="1" applyBorder="1" applyAlignment="1">
      <alignment vertical="center"/>
    </xf>
    <xf numFmtId="3" fontId="46" fillId="40" borderId="40" xfId="47" applyNumberFormat="1" applyFont="1" applyFill="1" applyBorder="1" applyAlignment="1">
      <alignment vertical="center"/>
    </xf>
    <xf numFmtId="49" fontId="46" fillId="0" borderId="0" xfId="0" applyNumberFormat="1" applyFont="1" applyFill="1" applyBorder="1" applyAlignment="1">
      <alignment horizontal="left" vertical="center"/>
    </xf>
    <xf numFmtId="0" fontId="46" fillId="0" borderId="0" xfId="0" applyFont="1" applyFill="1" applyBorder="1" applyAlignment="1">
      <alignment horizontal="center" vertical="center"/>
    </xf>
    <xf numFmtId="0" fontId="46" fillId="0" borderId="0" xfId="0" applyFont="1" applyFill="1" applyBorder="1" applyAlignment="1">
      <alignment horizontal="left" vertical="center"/>
    </xf>
    <xf numFmtId="3" fontId="46" fillId="0" borderId="0" xfId="47" applyNumberFormat="1" applyFont="1" applyFill="1" applyBorder="1" applyAlignment="1">
      <alignment horizontal="right" vertical="center"/>
    </xf>
    <xf numFmtId="4" fontId="46" fillId="40" borderId="40" xfId="47" applyNumberFormat="1" applyFont="1" applyFill="1" applyBorder="1" applyAlignment="1">
      <alignment horizontal="right" vertical="center"/>
    </xf>
    <xf numFmtId="3" fontId="46" fillId="40" borderId="45" xfId="47" applyNumberFormat="1" applyFont="1" applyFill="1" applyBorder="1" applyAlignment="1">
      <alignment vertical="center"/>
    </xf>
    <xf numFmtId="0" fontId="45" fillId="0" borderId="43" xfId="0" applyFont="1" applyBorder="1" applyAlignment="1">
      <alignment horizontal="center" vertical="center"/>
    </xf>
    <xf numFmtId="0" fontId="45" fillId="0" borderId="44" xfId="0" applyFont="1" applyBorder="1" applyAlignment="1">
      <alignment horizontal="center" vertical="center"/>
    </xf>
    <xf numFmtId="4" fontId="44" fillId="4" borderId="24" xfId="29" applyNumberFormat="1" applyFont="1" applyFill="1" applyBorder="1" applyAlignment="1" applyProtection="1">
      <alignment horizontal="right" vertical="center" wrapText="1"/>
    </xf>
    <xf numFmtId="4" fontId="50" fillId="0" borderId="19" xfId="0" applyNumberFormat="1" applyFont="1" applyBorder="1"/>
    <xf numFmtId="4" fontId="44" fillId="20" borderId="23" xfId="0" applyNumberFormat="1" applyFont="1" applyFill="1" applyBorder="1" applyAlignment="1">
      <alignment horizontal="right" vertical="center" wrapText="1"/>
    </xf>
    <xf numFmtId="4" fontId="44" fillId="20" borderId="23" xfId="48" applyNumberFormat="1" applyFont="1" applyFill="1" applyBorder="1" applyAlignment="1">
      <alignment horizontal="right" vertical="center" wrapText="1"/>
    </xf>
    <xf numFmtId="4" fontId="42" fillId="0" borderId="23" xfId="0" applyNumberFormat="1" applyFont="1" applyFill="1" applyBorder="1" applyAlignment="1">
      <alignment horizontal="right" vertical="center" wrapText="1"/>
    </xf>
    <xf numFmtId="4" fontId="44" fillId="29" borderId="23" xfId="0" applyNumberFormat="1" applyFont="1" applyFill="1" applyBorder="1" applyAlignment="1">
      <alignment horizontal="right" vertical="center" wrapText="1"/>
    </xf>
    <xf numFmtId="4" fontId="44" fillId="26" borderId="23" xfId="0" applyNumberFormat="1" applyFont="1" applyFill="1" applyBorder="1" applyAlignment="1">
      <alignment horizontal="right" vertical="center" wrapText="1"/>
    </xf>
    <xf numFmtId="3" fontId="40" fillId="38" borderId="54" xfId="49" applyNumberFormat="1" applyFont="1" applyFill="1" applyBorder="1" applyAlignment="1">
      <alignment horizontal="center" vertical="center" textRotation="90" wrapText="1"/>
    </xf>
    <xf numFmtId="0" fontId="40" fillId="38" borderId="55" xfId="49" applyFont="1" applyFill="1" applyBorder="1" applyAlignment="1">
      <alignment horizontal="center" vertical="center" textRotation="90" wrapText="1"/>
    </xf>
    <xf numFmtId="49" fontId="40" fillId="38" borderId="56" xfId="49" applyNumberFormat="1" applyFont="1" applyFill="1" applyBorder="1" applyAlignment="1">
      <alignment horizontal="center" vertical="center" textRotation="90" wrapText="1"/>
    </xf>
    <xf numFmtId="3" fontId="40" fillId="38" borderId="55" xfId="49" applyNumberFormat="1" applyFont="1" applyFill="1" applyBorder="1" applyAlignment="1">
      <alignment horizontal="center" vertical="center" textRotation="90" wrapText="1"/>
    </xf>
    <xf numFmtId="3" fontId="40" fillId="38" borderId="55" xfId="49" applyNumberFormat="1" applyFont="1" applyFill="1" applyBorder="1" applyAlignment="1">
      <alignment horizontal="center" vertical="center" wrapText="1"/>
    </xf>
    <xf numFmtId="3" fontId="40" fillId="38" borderId="55" xfId="47" applyNumberFormat="1" applyFont="1" applyFill="1" applyBorder="1" applyAlignment="1">
      <alignment horizontal="center" vertical="center" wrapText="1"/>
    </xf>
    <xf numFmtId="3" fontId="40" fillId="38" borderId="57" xfId="47" applyNumberFormat="1" applyFont="1" applyFill="1" applyBorder="1" applyAlignment="1">
      <alignment horizontal="center" vertical="center" wrapText="1"/>
    </xf>
    <xf numFmtId="3" fontId="40" fillId="0" borderId="58" xfId="49" applyNumberFormat="1" applyFont="1" applyBorder="1" applyAlignment="1">
      <alignment horizontal="center" vertical="center" wrapText="1"/>
    </xf>
    <xf numFmtId="49" fontId="45" fillId="0" borderId="0" xfId="0" applyNumberFormat="1" applyFont="1" applyBorder="1" applyAlignment="1">
      <alignment horizontal="center" vertical="center"/>
    </xf>
    <xf numFmtId="49" fontId="42" fillId="0" borderId="11" xfId="0" applyNumberFormat="1" applyFont="1" applyBorder="1" applyAlignment="1">
      <alignment horizontal="center" vertical="center"/>
    </xf>
    <xf numFmtId="0" fontId="42" fillId="0" borderId="11" xfId="0" applyFont="1" applyBorder="1" applyAlignment="1">
      <alignment horizontal="center" vertical="center"/>
    </xf>
    <xf numFmtId="0" fontId="42" fillId="0" borderId="11" xfId="0" applyFont="1" applyBorder="1" applyAlignment="1">
      <alignment horizontal="center" vertical="center" wrapText="1"/>
    </xf>
    <xf numFmtId="49" fontId="44" fillId="33" borderId="11" xfId="0" applyNumberFormat="1" applyFont="1" applyFill="1" applyBorder="1" applyAlignment="1">
      <alignment horizontal="center" vertical="center"/>
    </xf>
    <xf numFmtId="0" fontId="44" fillId="33" borderId="11" xfId="0" applyFont="1" applyFill="1" applyBorder="1" applyAlignment="1">
      <alignment horizontal="left" vertical="center"/>
    </xf>
    <xf numFmtId="165" fontId="42" fillId="33" borderId="11" xfId="0" applyNumberFormat="1" applyFont="1" applyFill="1" applyBorder="1" applyAlignment="1">
      <alignment horizontal="right" vertical="center" wrapText="1"/>
    </xf>
    <xf numFmtId="169" fontId="42" fillId="33" borderId="11" xfId="0" applyNumberFormat="1" applyFont="1" applyFill="1" applyBorder="1" applyAlignment="1">
      <alignment horizontal="right" vertical="center" wrapText="1"/>
    </xf>
    <xf numFmtId="49" fontId="44" fillId="20" borderId="11" xfId="0" applyNumberFormat="1" applyFont="1" applyFill="1" applyBorder="1" applyAlignment="1">
      <alignment horizontal="center"/>
    </xf>
    <xf numFmtId="0" fontId="44" fillId="20" borderId="11" xfId="0" applyFont="1" applyFill="1" applyBorder="1" applyAlignment="1">
      <alignment horizontal="left"/>
    </xf>
    <xf numFmtId="165" fontId="44" fillId="20" borderId="11" xfId="29" applyNumberFormat="1" applyFont="1" applyFill="1" applyBorder="1" applyAlignment="1" applyProtection="1">
      <alignment horizontal="right" vertical="center" wrapText="1"/>
    </xf>
    <xf numFmtId="169" fontId="44" fillId="20" borderId="11" xfId="48" applyNumberFormat="1" applyFont="1" applyFill="1" applyBorder="1" applyAlignment="1" applyProtection="1">
      <alignment horizontal="right" vertical="center" wrapText="1"/>
    </xf>
    <xf numFmtId="49" fontId="42" fillId="0" borderId="11" xfId="0" applyNumberFormat="1" applyFont="1" applyFill="1" applyBorder="1" applyAlignment="1">
      <alignment horizontal="center"/>
    </xf>
    <xf numFmtId="0" fontId="42" fillId="0" borderId="11" xfId="0" applyFont="1" applyFill="1" applyBorder="1" applyAlignment="1">
      <alignment horizontal="left"/>
    </xf>
    <xf numFmtId="165" fontId="42" fillId="0" borderId="11" xfId="29" applyNumberFormat="1" applyFont="1" applyFill="1" applyBorder="1" applyAlignment="1" applyProtection="1">
      <alignment horizontal="right" vertical="center" wrapText="1"/>
    </xf>
    <xf numFmtId="169" fontId="42" fillId="0" borderId="11" xfId="48" applyNumberFormat="1" applyFont="1" applyFill="1" applyBorder="1" applyAlignment="1" applyProtection="1">
      <alignment horizontal="right" vertical="center" wrapText="1"/>
    </xf>
    <xf numFmtId="0" fontId="42" fillId="0" borderId="11" xfId="0" applyNumberFormat="1" applyFont="1" applyFill="1" applyBorder="1" applyAlignment="1">
      <alignment horizontal="center"/>
    </xf>
    <xf numFmtId="165" fontId="44" fillId="0" borderId="11" xfId="29" applyNumberFormat="1" applyFont="1" applyFill="1" applyBorder="1" applyAlignment="1" applyProtection="1">
      <alignment horizontal="right" vertical="center" wrapText="1"/>
    </xf>
    <xf numFmtId="0" fontId="42" fillId="0" borderId="11" xfId="0" applyFont="1" applyFill="1" applyBorder="1" applyAlignment="1">
      <alignment horizontal="center" vertical="center"/>
    </xf>
    <xf numFmtId="0" fontId="42" fillId="0" borderId="11" xfId="0" applyFont="1" applyFill="1" applyBorder="1"/>
    <xf numFmtId="1" fontId="42" fillId="0" borderId="11" xfId="0" applyNumberFormat="1" applyFont="1" applyFill="1" applyBorder="1" applyAlignment="1">
      <alignment horizontal="center" vertical="center" wrapText="1"/>
    </xf>
    <xf numFmtId="0" fontId="52" fillId="0" borderId="11" xfId="0" applyFont="1" applyFill="1" applyBorder="1" applyAlignment="1">
      <alignment horizontal="left" vertical="center" wrapText="1"/>
    </xf>
    <xf numFmtId="0" fontId="44" fillId="20" borderId="11" xfId="0" applyFont="1" applyFill="1" applyBorder="1" applyAlignment="1">
      <alignment horizontal="center"/>
    </xf>
    <xf numFmtId="0" fontId="44" fillId="20" borderId="11" xfId="0" applyFont="1" applyFill="1" applyBorder="1" applyAlignment="1">
      <alignment horizontal="justify"/>
    </xf>
    <xf numFmtId="0" fontId="42" fillId="0" borderId="11" xfId="0" applyFont="1" applyFill="1" applyBorder="1" applyAlignment="1">
      <alignment horizontal="center"/>
    </xf>
    <xf numFmtId="0" fontId="42" fillId="0" borderId="11" xfId="0" applyFont="1" applyFill="1" applyBorder="1" applyAlignment="1">
      <alignment horizontal="justify"/>
    </xf>
    <xf numFmtId="49" fontId="44" fillId="33" borderId="11" xfId="0" applyNumberFormat="1" applyFont="1" applyFill="1" applyBorder="1" applyAlignment="1">
      <alignment horizontal="center"/>
    </xf>
    <xf numFmtId="0" fontId="44" fillId="33" borderId="11" xfId="0" applyFont="1" applyFill="1" applyBorder="1" applyAlignment="1">
      <alignment horizontal="left"/>
    </xf>
    <xf numFmtId="165" fontId="44" fillId="33" borderId="11" xfId="29" applyNumberFormat="1" applyFont="1" applyFill="1" applyBorder="1" applyAlignment="1" applyProtection="1">
      <alignment horizontal="right" vertical="center" wrapText="1"/>
    </xf>
    <xf numFmtId="169" fontId="42" fillId="33" borderId="11" xfId="48" applyNumberFormat="1" applyFont="1" applyFill="1" applyBorder="1" applyAlignment="1" applyProtection="1">
      <alignment horizontal="right" vertical="center" wrapText="1"/>
    </xf>
    <xf numFmtId="0" fontId="52" fillId="0" borderId="11" xfId="0" applyFont="1" applyFill="1" applyBorder="1" applyAlignment="1">
      <alignment horizontal="justify" vertical="center" wrapText="1"/>
    </xf>
    <xf numFmtId="169" fontId="42" fillId="0" borderId="11" xfId="48" applyNumberFormat="1" applyFont="1" applyFill="1" applyBorder="1" applyAlignment="1">
      <alignment horizontal="right" vertical="center" wrapText="1"/>
    </xf>
    <xf numFmtId="0" fontId="52" fillId="0" borderId="11" xfId="0" applyFont="1" applyFill="1" applyBorder="1" applyAlignment="1">
      <alignment vertical="center" wrapText="1"/>
    </xf>
    <xf numFmtId="165" fontId="44" fillId="20" borderId="11" xfId="47" applyNumberFormat="1" applyFont="1" applyFill="1" applyBorder="1" applyAlignment="1">
      <alignment horizontal="right" vertical="center" wrapText="1"/>
    </xf>
    <xf numFmtId="169" fontId="44" fillId="20" borderId="11" xfId="48" applyNumberFormat="1" applyFont="1" applyFill="1" applyBorder="1" applyAlignment="1">
      <alignment horizontal="right" vertical="center" wrapText="1"/>
    </xf>
    <xf numFmtId="165" fontId="44" fillId="20" borderId="11" xfId="0" applyNumberFormat="1" applyFont="1" applyFill="1" applyBorder="1" applyAlignment="1">
      <alignment horizontal="right" vertical="center" wrapText="1"/>
    </xf>
    <xf numFmtId="1" fontId="44" fillId="20" borderId="11" xfId="0" applyNumberFormat="1" applyFont="1" applyFill="1" applyBorder="1" applyAlignment="1">
      <alignment horizontal="center" vertical="center" wrapText="1"/>
    </xf>
    <xf numFmtId="0" fontId="44" fillId="20" borderId="11" xfId="0" applyFont="1" applyFill="1" applyBorder="1" applyAlignment="1">
      <alignment vertical="center" wrapText="1"/>
    </xf>
    <xf numFmtId="169" fontId="42" fillId="20" borderId="11" xfId="48" applyNumberFormat="1" applyFont="1" applyFill="1" applyBorder="1" applyAlignment="1">
      <alignment horizontal="right" vertical="center" wrapText="1"/>
    </xf>
    <xf numFmtId="0" fontId="42" fillId="0" borderId="11" xfId="0" applyFont="1" applyFill="1" applyBorder="1" applyAlignment="1">
      <alignment wrapText="1"/>
    </xf>
    <xf numFmtId="49" fontId="42" fillId="0" borderId="11" xfId="0" applyNumberFormat="1" applyFont="1" applyBorder="1" applyAlignment="1">
      <alignment horizontal="center"/>
    </xf>
    <xf numFmtId="0" fontId="42" fillId="0" borderId="11" xfId="0" applyFont="1" applyBorder="1" applyAlignment="1">
      <alignment horizontal="left"/>
    </xf>
    <xf numFmtId="169" fontId="42" fillId="0" borderId="11" xfId="48" applyNumberFormat="1" applyFont="1" applyBorder="1" applyAlignment="1">
      <alignment horizontal="right" vertical="center" wrapText="1"/>
    </xf>
    <xf numFmtId="0" fontId="44" fillId="4" borderId="11" xfId="0" applyFont="1" applyFill="1" applyBorder="1"/>
    <xf numFmtId="49" fontId="44" fillId="4" borderId="11" xfId="0" applyNumberFormat="1" applyFont="1" applyFill="1" applyBorder="1" applyAlignment="1">
      <alignment vertical="center" wrapText="1"/>
    </xf>
    <xf numFmtId="165" fontId="44" fillId="4" borderId="11" xfId="0" applyNumberFormat="1" applyFont="1" applyFill="1" applyBorder="1" applyAlignment="1">
      <alignment horizontal="right" vertical="center" wrapText="1"/>
    </xf>
    <xf numFmtId="169" fontId="44" fillId="4" borderId="11" xfId="48" applyNumberFormat="1" applyFont="1" applyFill="1" applyBorder="1" applyAlignment="1" applyProtection="1">
      <alignment horizontal="right" vertical="center" wrapText="1"/>
    </xf>
    <xf numFmtId="165" fontId="44" fillId="4" borderId="11" xfId="29" applyNumberFormat="1" applyFont="1" applyFill="1" applyBorder="1" applyAlignment="1" applyProtection="1">
      <alignment horizontal="right" vertical="center" wrapText="1"/>
    </xf>
    <xf numFmtId="3" fontId="45" fillId="0" borderId="65" xfId="47" applyNumberFormat="1" applyFont="1" applyBorder="1" applyAlignment="1">
      <alignment horizontal="right" vertical="center"/>
    </xf>
    <xf numFmtId="3" fontId="39" fillId="0" borderId="61" xfId="0" applyNumberFormat="1" applyFont="1" applyBorder="1" applyAlignment="1">
      <alignment horizontal="left" vertical="center" wrapText="1"/>
    </xf>
    <xf numFmtId="3" fontId="39" fillId="0" borderId="62" xfId="0" applyNumberFormat="1" applyFont="1" applyBorder="1" applyAlignment="1">
      <alignment horizontal="left" vertical="center" wrapText="1"/>
    </xf>
    <xf numFmtId="3" fontId="39" fillId="0" borderId="63" xfId="0" applyNumberFormat="1" applyFont="1" applyBorder="1" applyAlignment="1">
      <alignment horizontal="left" vertical="center" wrapText="1"/>
    </xf>
    <xf numFmtId="0" fontId="21" fillId="0" borderId="68" xfId="0" applyFont="1" applyBorder="1" applyAlignment="1">
      <alignment horizontal="center" vertical="center" wrapText="1"/>
    </xf>
    <xf numFmtId="3" fontId="45" fillId="0" borderId="64" xfId="47" applyNumberFormat="1" applyFont="1" applyBorder="1" applyAlignment="1">
      <alignment horizontal="right" vertical="center"/>
    </xf>
    <xf numFmtId="3" fontId="45" fillId="0" borderId="66" xfId="47" applyNumberFormat="1" applyFont="1" applyBorder="1" applyAlignment="1">
      <alignment horizontal="right" vertical="center"/>
    </xf>
    <xf numFmtId="3" fontId="46" fillId="40" borderId="50" xfId="47" applyNumberFormat="1" applyFont="1" applyFill="1" applyBorder="1" applyAlignment="1">
      <alignment horizontal="right" vertical="center"/>
    </xf>
    <xf numFmtId="3" fontId="46" fillId="40" borderId="48" xfId="47" applyNumberFormat="1" applyFont="1" applyFill="1" applyBorder="1" applyAlignment="1">
      <alignment vertical="center"/>
    </xf>
    <xf numFmtId="0" fontId="45" fillId="0" borderId="67" xfId="0" applyFont="1" applyBorder="1" applyAlignment="1">
      <alignment horizontal="center" vertical="center"/>
    </xf>
    <xf numFmtId="0" fontId="45" fillId="0" borderId="69" xfId="0" applyFont="1" applyBorder="1" applyAlignment="1">
      <alignment horizontal="center" vertical="center"/>
    </xf>
    <xf numFmtId="3" fontId="21" fillId="0" borderId="62" xfId="0" applyNumberFormat="1" applyFont="1" applyBorder="1" applyAlignment="1">
      <alignment horizontal="left" vertical="center" wrapText="1"/>
    </xf>
    <xf numFmtId="0" fontId="45" fillId="0" borderId="68" xfId="0" applyFont="1" applyBorder="1" applyAlignment="1">
      <alignment horizontal="center" vertical="center"/>
    </xf>
    <xf numFmtId="3" fontId="23" fillId="0" borderId="61" xfId="49" applyNumberFormat="1" applyFont="1" applyFill="1" applyBorder="1" applyAlignment="1">
      <alignment horizontal="left" vertical="center" wrapText="1"/>
    </xf>
    <xf numFmtId="3" fontId="46" fillId="40" borderId="47" xfId="47" applyNumberFormat="1" applyFont="1" applyFill="1" applyBorder="1" applyAlignment="1">
      <alignment vertical="center"/>
    </xf>
    <xf numFmtId="3" fontId="46" fillId="40" borderId="50" xfId="47" applyNumberFormat="1" applyFont="1" applyFill="1" applyBorder="1" applyAlignment="1">
      <alignment vertical="center"/>
    </xf>
    <xf numFmtId="0" fontId="45" fillId="0" borderId="40" xfId="0" applyFont="1" applyBorder="1" applyAlignment="1">
      <alignment horizontal="center" vertical="center"/>
    </xf>
    <xf numFmtId="3" fontId="23" fillId="0" borderId="20" xfId="49" applyNumberFormat="1" applyFont="1" applyFill="1" applyBorder="1" applyAlignment="1">
      <alignment horizontal="left" vertical="center" wrapText="1"/>
    </xf>
    <xf numFmtId="0" fontId="45" fillId="0" borderId="67" xfId="0" applyFont="1" applyBorder="1" applyAlignment="1">
      <alignment horizontal="left" vertical="center"/>
    </xf>
    <xf numFmtId="3" fontId="45" fillId="0" borderId="65" xfId="47" applyNumberFormat="1" applyFont="1" applyFill="1" applyBorder="1" applyAlignment="1">
      <alignment horizontal="right" vertical="center"/>
    </xf>
    <xf numFmtId="3" fontId="45" fillId="0" borderId="66" xfId="47" applyNumberFormat="1" applyFont="1" applyFill="1" applyBorder="1" applyAlignment="1">
      <alignment horizontal="right" vertical="center"/>
    </xf>
    <xf numFmtId="0" fontId="45" fillId="0" borderId="20" xfId="0" applyFont="1" applyBorder="1" applyAlignment="1">
      <alignment vertical="center" wrapText="1"/>
    </xf>
    <xf numFmtId="0" fontId="45" fillId="0" borderId="20" xfId="0" applyFont="1" applyBorder="1" applyAlignment="1">
      <alignment horizontal="left" vertical="center" wrapText="1"/>
    </xf>
    <xf numFmtId="0" fontId="53" fillId="0" borderId="11" xfId="0" applyFont="1" applyBorder="1" applyAlignment="1">
      <alignment wrapText="1"/>
    </xf>
    <xf numFmtId="0" fontId="42" fillId="0" borderId="11" xfId="0" applyFont="1" applyFill="1" applyBorder="1" applyAlignment="1">
      <alignment horizontal="left" wrapText="1"/>
    </xf>
    <xf numFmtId="3" fontId="45" fillId="0" borderId="64" xfId="47" applyNumberFormat="1" applyFont="1" applyFill="1" applyBorder="1" applyAlignment="1">
      <alignment horizontal="right" vertical="center"/>
    </xf>
    <xf numFmtId="165" fontId="67" fillId="0" borderId="0" xfId="0" applyNumberFormat="1" applyFont="1"/>
    <xf numFmtId="3" fontId="45" fillId="0" borderId="40" xfId="47" applyNumberFormat="1" applyFont="1" applyFill="1" applyBorder="1" applyAlignment="1">
      <alignment horizontal="right" vertical="center"/>
    </xf>
    <xf numFmtId="49" fontId="45" fillId="35" borderId="11" xfId="0" applyNumberFormat="1" applyFont="1" applyFill="1" applyBorder="1"/>
    <xf numFmtId="49" fontId="59" fillId="36" borderId="11" xfId="0" applyNumberFormat="1" applyFont="1" applyFill="1" applyBorder="1"/>
    <xf numFmtId="49" fontId="45" fillId="0" borderId="11" xfId="0" applyNumberFormat="1" applyFont="1" applyFill="1" applyBorder="1"/>
    <xf numFmtId="49" fontId="45" fillId="41" borderId="11" xfId="0" applyNumberFormat="1" applyFont="1" applyFill="1" applyBorder="1"/>
    <xf numFmtId="0" fontId="69" fillId="0" borderId="11" xfId="0" applyFont="1" applyBorder="1" applyAlignment="1">
      <alignment horizontal="center" vertical="center"/>
    </xf>
    <xf numFmtId="4" fontId="45" fillId="0" borderId="11" xfId="0" applyNumberFormat="1" applyFont="1" applyBorder="1"/>
    <xf numFmtId="0" fontId="45" fillId="0" borderId="43" xfId="0" applyFont="1" applyBorder="1" applyAlignment="1">
      <alignment horizontal="center" vertical="center"/>
    </xf>
    <xf numFmtId="3" fontId="39" fillId="0" borderId="70" xfId="0" applyNumberFormat="1" applyFont="1" applyBorder="1" applyAlignment="1">
      <alignment horizontal="left" vertical="center" wrapText="1"/>
    </xf>
    <xf numFmtId="3" fontId="21" fillId="0" borderId="71" xfId="0" applyNumberFormat="1" applyFont="1" applyBorder="1" applyAlignment="1">
      <alignment horizontal="left" vertical="center" wrapText="1"/>
    </xf>
    <xf numFmtId="3" fontId="39" fillId="0" borderId="71" xfId="0" applyNumberFormat="1" applyFont="1" applyBorder="1" applyAlignment="1">
      <alignment horizontal="left" vertical="center" wrapText="1"/>
    </xf>
    <xf numFmtId="3" fontId="45" fillId="0" borderId="74" xfId="47" applyNumberFormat="1" applyFont="1" applyFill="1" applyBorder="1" applyAlignment="1">
      <alignment horizontal="right" vertical="center"/>
    </xf>
    <xf numFmtId="3" fontId="45" fillId="0" borderId="47" xfId="47" applyNumberFormat="1" applyFont="1" applyFill="1" applyBorder="1" applyAlignment="1">
      <alignment horizontal="right" vertical="center"/>
    </xf>
    <xf numFmtId="0" fontId="45" fillId="0" borderId="75" xfId="0" applyFont="1" applyBorder="1" applyAlignment="1">
      <alignment horizontal="left" vertical="center"/>
    </xf>
    <xf numFmtId="3" fontId="39" fillId="0" borderId="77" xfId="0" applyNumberFormat="1" applyFont="1" applyFill="1" applyBorder="1" applyAlignment="1">
      <alignment horizontal="left" vertical="center" wrapText="1"/>
    </xf>
    <xf numFmtId="3" fontId="22" fillId="0" borderId="49" xfId="49" applyNumberFormat="1" applyFont="1" applyFill="1" applyBorder="1" applyAlignment="1">
      <alignment horizontal="left" vertical="center" wrapText="1"/>
    </xf>
    <xf numFmtId="3" fontId="22" fillId="0" borderId="52" xfId="49" applyNumberFormat="1" applyFont="1" applyFill="1" applyBorder="1" applyAlignment="1">
      <alignment horizontal="left" vertical="center" wrapText="1"/>
    </xf>
    <xf numFmtId="3" fontId="58" fillId="0" borderId="50" xfId="49" applyNumberFormat="1" applyFont="1" applyFill="1" applyBorder="1" applyAlignment="1">
      <alignment horizontal="left" vertical="center" wrapText="1"/>
    </xf>
    <xf numFmtId="0" fontId="45" fillId="0" borderId="61" xfId="0" applyFont="1" applyBorder="1" applyAlignment="1">
      <alignment horizontal="center" vertical="center"/>
    </xf>
    <xf numFmtId="3" fontId="23" fillId="0" borderId="0" xfId="49" applyNumberFormat="1" applyFont="1" applyFill="1" applyBorder="1" applyAlignment="1">
      <alignment horizontal="left" vertical="center" wrapText="1"/>
    </xf>
    <xf numFmtId="0" fontId="45" fillId="0" borderId="46" xfId="0" applyFont="1" applyFill="1" applyBorder="1" applyAlignment="1">
      <alignment horizontal="center" vertical="center"/>
    </xf>
    <xf numFmtId="0" fontId="45" fillId="0" borderId="43" xfId="0" applyFont="1" applyFill="1" applyBorder="1" applyAlignment="1">
      <alignment horizontal="center" vertical="center"/>
    </xf>
    <xf numFmtId="49" fontId="45" fillId="0" borderId="0" xfId="0" applyNumberFormat="1" applyFont="1" applyFill="1" applyBorder="1" applyAlignment="1">
      <alignment horizontal="left" vertical="center"/>
    </xf>
    <xf numFmtId="49" fontId="45" fillId="0" borderId="0" xfId="0" applyNumberFormat="1" applyFont="1" applyFill="1" applyBorder="1" applyAlignment="1">
      <alignment horizontal="center" vertical="center"/>
    </xf>
    <xf numFmtId="3" fontId="45" fillId="0" borderId="48" xfId="47" applyNumberFormat="1" applyFont="1" applyFill="1" applyBorder="1" applyAlignment="1">
      <alignment vertical="center"/>
    </xf>
    <xf numFmtId="0" fontId="45" fillId="0" borderId="0" xfId="0" applyFont="1" applyFill="1" applyBorder="1"/>
    <xf numFmtId="0" fontId="45" fillId="0" borderId="0" xfId="0" applyFont="1" applyFill="1"/>
    <xf numFmtId="4" fontId="60" fillId="31" borderId="11" xfId="0" applyNumberFormat="1" applyFont="1" applyFill="1" applyBorder="1"/>
    <xf numFmtId="3" fontId="39" fillId="0" borderId="71" xfId="0" applyNumberFormat="1" applyFont="1" applyFill="1" applyBorder="1" applyAlignment="1">
      <alignment horizontal="left" vertical="center" wrapText="1"/>
    </xf>
    <xf numFmtId="3" fontId="39" fillId="0" borderId="80" xfId="0" applyNumberFormat="1" applyFont="1" applyBorder="1" applyAlignment="1">
      <alignment horizontal="left" vertical="center" wrapText="1"/>
    </xf>
    <xf numFmtId="0" fontId="45" fillId="0" borderId="81" xfId="0" applyFont="1" applyBorder="1" applyAlignment="1">
      <alignment horizontal="center" vertical="center"/>
    </xf>
    <xf numFmtId="0" fontId="45" fillId="0" borderId="82" xfId="0" applyFont="1" applyBorder="1" applyAlignment="1">
      <alignment horizontal="center" vertical="center"/>
    </xf>
    <xf numFmtId="0" fontId="45" fillId="0" borderId="40" xfId="0" applyFont="1" applyFill="1" applyBorder="1" applyAlignment="1">
      <alignment horizontal="center" vertical="center"/>
    </xf>
    <xf numFmtId="3" fontId="45" fillId="0" borderId="20" xfId="47" applyNumberFormat="1" applyFont="1" applyFill="1" applyBorder="1" applyAlignment="1">
      <alignment vertical="center"/>
    </xf>
    <xf numFmtId="3" fontId="45" fillId="0" borderId="40" xfId="47" applyNumberFormat="1" applyFont="1" applyFill="1" applyBorder="1" applyAlignment="1">
      <alignment vertical="center"/>
    </xf>
    <xf numFmtId="3" fontId="45" fillId="0" borderId="49" xfId="47" applyNumberFormat="1" applyFont="1" applyFill="1" applyBorder="1" applyAlignment="1">
      <alignment vertical="center"/>
    </xf>
    <xf numFmtId="0" fontId="45" fillId="0" borderId="52" xfId="0" applyFont="1" applyFill="1" applyBorder="1" applyAlignment="1">
      <alignment horizontal="center" vertical="center"/>
    </xf>
    <xf numFmtId="3" fontId="45" fillId="0" borderId="52" xfId="47" applyNumberFormat="1" applyFont="1" applyFill="1" applyBorder="1" applyAlignment="1">
      <alignment vertical="center"/>
    </xf>
    <xf numFmtId="0" fontId="45" fillId="0" borderId="43" xfId="0" applyFont="1" applyBorder="1" applyAlignment="1">
      <alignment horizontal="center" vertical="center"/>
    </xf>
    <xf numFmtId="0" fontId="45" fillId="0" borderId="49" xfId="0" applyFont="1" applyBorder="1" applyAlignment="1">
      <alignment horizontal="center" vertical="center"/>
    </xf>
    <xf numFmtId="3" fontId="58" fillId="0" borderId="52" xfId="49" applyNumberFormat="1" applyFont="1" applyFill="1" applyBorder="1" applyAlignment="1">
      <alignment horizontal="left" vertical="center" wrapText="1"/>
    </xf>
    <xf numFmtId="4" fontId="46" fillId="0" borderId="0" xfId="47" applyNumberFormat="1" applyFont="1" applyBorder="1" applyAlignment="1">
      <alignment vertical="center"/>
    </xf>
    <xf numFmtId="4" fontId="46" fillId="0" borderId="0" xfId="47" applyNumberFormat="1" applyFont="1" applyBorder="1" applyAlignment="1">
      <alignment horizontal="right" vertical="center"/>
    </xf>
    <xf numFmtId="4" fontId="46" fillId="0" borderId="42" xfId="47" applyNumberFormat="1" applyFont="1" applyBorder="1" applyAlignment="1">
      <alignment vertical="center"/>
    </xf>
    <xf numFmtId="4" fontId="46" fillId="0" borderId="44" xfId="47" applyNumberFormat="1" applyFont="1" applyBorder="1" applyAlignment="1">
      <alignment vertical="center"/>
    </xf>
    <xf numFmtId="4" fontId="46" fillId="0" borderId="49" xfId="47" applyNumberFormat="1" applyFont="1" applyBorder="1" applyAlignment="1">
      <alignment vertical="center"/>
    </xf>
    <xf numFmtId="4" fontId="46" fillId="0" borderId="49" xfId="47" applyNumberFormat="1" applyFont="1" applyBorder="1" applyAlignment="1">
      <alignment horizontal="right" vertical="center"/>
    </xf>
    <xf numFmtId="0" fontId="57" fillId="0" borderId="50" xfId="0" applyFont="1" applyBorder="1" applyAlignment="1">
      <alignment horizontal="left" vertical="center"/>
    </xf>
    <xf numFmtId="0" fontId="45" fillId="0" borderId="43" xfId="0" applyFont="1" applyBorder="1" applyAlignment="1">
      <alignment horizontal="center" vertical="center"/>
    </xf>
    <xf numFmtId="0" fontId="45" fillId="0" borderId="44" xfId="0" applyFont="1" applyBorder="1" applyAlignment="1">
      <alignment horizontal="center" vertical="center"/>
    </xf>
    <xf numFmtId="0" fontId="45" fillId="0" borderId="49" xfId="0" applyFont="1" applyBorder="1" applyAlignment="1">
      <alignment horizontal="center" vertical="center"/>
    </xf>
    <xf numFmtId="0" fontId="45" fillId="0" borderId="50" xfId="0" applyFont="1" applyBorder="1" applyAlignment="1">
      <alignment horizontal="center" vertical="center"/>
    </xf>
    <xf numFmtId="0" fontId="45" fillId="0" borderId="67" xfId="0" applyFont="1" applyFill="1" applyBorder="1" applyAlignment="1">
      <alignment horizontal="center" vertical="center"/>
    </xf>
    <xf numFmtId="3" fontId="39" fillId="0" borderId="61" xfId="0" applyNumberFormat="1" applyFont="1" applyFill="1" applyBorder="1" applyAlignment="1">
      <alignment horizontal="left" vertical="center" wrapText="1"/>
    </xf>
    <xf numFmtId="3" fontId="39" fillId="0" borderId="83" xfId="0" applyNumberFormat="1" applyFont="1" applyBorder="1" applyAlignment="1">
      <alignment horizontal="left" vertical="center" wrapText="1"/>
    </xf>
    <xf numFmtId="0" fontId="45" fillId="0" borderId="83" xfId="0" applyFont="1" applyBorder="1" applyAlignment="1">
      <alignment horizontal="left" vertical="center"/>
    </xf>
    <xf numFmtId="0" fontId="45" fillId="0" borderId="43" xfId="0" applyFont="1" applyBorder="1" applyAlignment="1">
      <alignment horizontal="center" vertical="center"/>
    </xf>
    <xf numFmtId="0" fontId="45" fillId="0" borderId="41" xfId="0" applyFont="1" applyBorder="1" applyAlignment="1">
      <alignment horizontal="left" vertical="center"/>
    </xf>
    <xf numFmtId="3" fontId="46" fillId="43" borderId="40" xfId="47" applyNumberFormat="1" applyFont="1" applyFill="1" applyBorder="1" applyAlignment="1">
      <alignment horizontal="right" vertical="center"/>
    </xf>
    <xf numFmtId="3" fontId="46" fillId="43" borderId="45" xfId="47" applyNumberFormat="1" applyFont="1" applyFill="1" applyBorder="1" applyAlignment="1">
      <alignment vertical="center"/>
    </xf>
    <xf numFmtId="3" fontId="23" fillId="0" borderId="50" xfId="49" applyNumberFormat="1" applyFont="1" applyFill="1" applyBorder="1" applyAlignment="1">
      <alignment horizontal="left" vertical="center" wrapText="1"/>
    </xf>
    <xf numFmtId="3" fontId="40" fillId="0" borderId="41" xfId="49" applyNumberFormat="1" applyFont="1" applyFill="1" applyBorder="1" applyAlignment="1">
      <alignment horizontal="left" vertical="center" wrapText="1"/>
    </xf>
    <xf numFmtId="3" fontId="22" fillId="0" borderId="43" xfId="49" applyNumberFormat="1" applyFont="1" applyFill="1" applyBorder="1" applyAlignment="1">
      <alignment horizontal="left" vertical="center" wrapText="1"/>
    </xf>
    <xf numFmtId="3" fontId="58" fillId="0" borderId="46" xfId="49" applyNumberFormat="1" applyFont="1" applyFill="1" applyBorder="1" applyAlignment="1">
      <alignment horizontal="left" vertical="center" wrapText="1"/>
    </xf>
    <xf numFmtId="3" fontId="46" fillId="35" borderId="40" xfId="47" applyNumberFormat="1" applyFont="1" applyFill="1" applyBorder="1" applyAlignment="1">
      <alignment horizontal="right" vertical="center"/>
    </xf>
    <xf numFmtId="0" fontId="57" fillId="0" borderId="50" xfId="0" applyFont="1" applyBorder="1" applyAlignment="1">
      <alignment horizontal="center" vertical="center"/>
    </xf>
    <xf numFmtId="3" fontId="22" fillId="0" borderId="41" xfId="49" applyNumberFormat="1" applyFont="1" applyFill="1" applyBorder="1" applyAlignment="1">
      <alignment horizontal="left" vertical="center" wrapText="1"/>
    </xf>
    <xf numFmtId="3" fontId="45" fillId="0" borderId="26" xfId="47" applyNumberFormat="1" applyFont="1" applyBorder="1" applyAlignment="1">
      <alignment horizontal="right" vertical="center"/>
    </xf>
    <xf numFmtId="3" fontId="58" fillId="0" borderId="47" xfId="49" applyNumberFormat="1" applyFont="1" applyFill="1" applyBorder="1" applyAlignment="1">
      <alignment horizontal="left" vertical="center" wrapText="1"/>
    </xf>
    <xf numFmtId="0" fontId="45" fillId="0" borderId="35" xfId="0" applyFont="1" applyFill="1" applyBorder="1" applyAlignment="1">
      <alignment vertical="center" wrapText="1"/>
    </xf>
    <xf numFmtId="3" fontId="46" fillId="0" borderId="52" xfId="47" applyNumberFormat="1" applyFont="1" applyFill="1" applyBorder="1" applyAlignment="1">
      <alignment horizontal="right" vertical="center"/>
    </xf>
    <xf numFmtId="3" fontId="46" fillId="0" borderId="49" xfId="47" applyNumberFormat="1" applyFont="1" applyFill="1" applyBorder="1" applyAlignment="1">
      <alignment horizontal="right" vertical="center"/>
    </xf>
    <xf numFmtId="3" fontId="46" fillId="0" borderId="33" xfId="47" applyNumberFormat="1" applyFont="1" applyFill="1" applyBorder="1" applyAlignment="1">
      <alignment horizontal="right" vertical="center"/>
    </xf>
    <xf numFmtId="0" fontId="45" fillId="0" borderId="76" xfId="0" applyFont="1" applyFill="1" applyBorder="1" applyAlignment="1">
      <alignment horizontal="center" vertical="center"/>
    </xf>
    <xf numFmtId="0" fontId="46" fillId="0" borderId="33" xfId="0" applyFont="1" applyFill="1" applyBorder="1" applyAlignment="1">
      <alignment vertical="center" wrapText="1"/>
    </xf>
    <xf numFmtId="0" fontId="57" fillId="0" borderId="47" xfId="0" applyFont="1" applyFill="1" applyBorder="1" applyAlignment="1">
      <alignment vertical="center" wrapText="1"/>
    </xf>
    <xf numFmtId="3" fontId="45" fillId="0" borderId="50" xfId="47" applyNumberFormat="1" applyFont="1" applyFill="1" applyBorder="1" applyAlignment="1">
      <alignment vertical="center"/>
    </xf>
    <xf numFmtId="3" fontId="39" fillId="0" borderId="48" xfId="0" applyNumberFormat="1" applyFont="1" applyFill="1" applyBorder="1" applyAlignment="1">
      <alignment horizontal="left" vertical="center" wrapText="1"/>
    </xf>
    <xf numFmtId="3" fontId="39" fillId="0" borderId="70" xfId="0" applyNumberFormat="1" applyFont="1" applyFill="1" applyBorder="1" applyAlignment="1">
      <alignment horizontal="left" vertical="center" wrapText="1"/>
    </xf>
    <xf numFmtId="0" fontId="45" fillId="0" borderId="49" xfId="0" applyFont="1" applyFill="1" applyBorder="1" applyAlignment="1">
      <alignment horizontal="center" vertical="center"/>
    </xf>
    <xf numFmtId="3" fontId="46" fillId="0" borderId="50" xfId="47" applyNumberFormat="1" applyFont="1" applyFill="1" applyBorder="1" applyAlignment="1">
      <alignment horizontal="right" vertical="center"/>
    </xf>
    <xf numFmtId="0" fontId="45" fillId="0" borderId="89" xfId="0" applyFont="1" applyFill="1" applyBorder="1" applyAlignment="1">
      <alignment horizontal="center" vertical="center"/>
    </xf>
    <xf numFmtId="3" fontId="46" fillId="0" borderId="44" xfId="47" applyNumberFormat="1" applyFont="1" applyFill="1" applyBorder="1" applyAlignment="1">
      <alignment horizontal="right" vertical="center"/>
    </xf>
    <xf numFmtId="0" fontId="46" fillId="0" borderId="0" xfId="0" applyFont="1" applyBorder="1" applyAlignment="1">
      <alignment horizontal="center" vertical="center" wrapText="1"/>
    </xf>
    <xf numFmtId="0" fontId="46" fillId="0" borderId="43" xfId="0" applyFont="1" applyFill="1" applyBorder="1" applyAlignment="1">
      <alignment horizontal="left" vertical="center"/>
    </xf>
    <xf numFmtId="0" fontId="57" fillId="0" borderId="47" xfId="0" applyFont="1" applyBorder="1" applyAlignment="1">
      <alignment vertical="center" wrapText="1"/>
    </xf>
    <xf numFmtId="0" fontId="46" fillId="0" borderId="42" xfId="0" applyFont="1" applyFill="1" applyBorder="1" applyAlignment="1">
      <alignment horizontal="left" vertical="center" wrapText="1"/>
    </xf>
    <xf numFmtId="0" fontId="57" fillId="0" borderId="48" xfId="0" applyFont="1" applyBorder="1" applyAlignment="1">
      <alignment vertical="center" wrapText="1"/>
    </xf>
    <xf numFmtId="0" fontId="46" fillId="0" borderId="49" xfId="0" applyFont="1" applyFill="1" applyBorder="1" applyAlignment="1">
      <alignment horizontal="left" vertical="center"/>
    </xf>
    <xf numFmtId="3" fontId="46" fillId="0" borderId="47" xfId="47" applyNumberFormat="1" applyFont="1" applyFill="1" applyBorder="1" applyAlignment="1">
      <alignment horizontal="right" vertical="center"/>
    </xf>
    <xf numFmtId="3" fontId="46" fillId="35" borderId="20" xfId="47" applyNumberFormat="1" applyFont="1" applyFill="1" applyBorder="1" applyAlignment="1">
      <alignment vertical="center"/>
    </xf>
    <xf numFmtId="3" fontId="46" fillId="35" borderId="40" xfId="47" applyNumberFormat="1" applyFont="1" applyFill="1" applyBorder="1" applyAlignment="1">
      <alignment vertical="center"/>
    </xf>
    <xf numFmtId="3" fontId="22" fillId="0" borderId="42" xfId="49" applyNumberFormat="1" applyFont="1" applyFill="1" applyBorder="1" applyAlignment="1">
      <alignment horizontal="left" vertical="center" wrapText="1"/>
    </xf>
    <xf numFmtId="3" fontId="22" fillId="0" borderId="44" xfId="49" applyNumberFormat="1" applyFont="1" applyFill="1" applyBorder="1" applyAlignment="1">
      <alignment horizontal="left" vertical="center" wrapText="1"/>
    </xf>
    <xf numFmtId="3" fontId="58" fillId="0" borderId="48" xfId="49" applyNumberFormat="1" applyFont="1" applyFill="1" applyBorder="1" applyAlignment="1">
      <alignment horizontal="left" vertical="center" wrapText="1"/>
    </xf>
    <xf numFmtId="0" fontId="21" fillId="0" borderId="89" xfId="0" applyFont="1" applyBorder="1" applyAlignment="1">
      <alignment horizontal="center" vertical="center" wrapText="1"/>
    </xf>
    <xf numFmtId="0" fontId="21" fillId="0" borderId="89" xfId="0" applyFont="1" applyFill="1" applyBorder="1" applyAlignment="1">
      <alignment horizontal="center" vertical="center" wrapText="1"/>
    </xf>
    <xf numFmtId="0" fontId="21" fillId="0" borderId="88" xfId="0" applyFont="1" applyBorder="1" applyAlignment="1">
      <alignment horizontal="center" vertical="center" wrapText="1"/>
    </xf>
    <xf numFmtId="3" fontId="45" fillId="0" borderId="41" xfId="47" applyNumberFormat="1" applyFont="1" applyFill="1" applyBorder="1" applyAlignment="1">
      <alignment horizontal="right" vertical="center"/>
    </xf>
    <xf numFmtId="3" fontId="45" fillId="0" borderId="42" xfId="47" applyNumberFormat="1" applyFont="1" applyFill="1" applyBorder="1" applyAlignment="1">
      <alignment vertical="center"/>
    </xf>
    <xf numFmtId="3" fontId="45" fillId="0" borderId="43" xfId="47" applyNumberFormat="1" applyFont="1" applyFill="1" applyBorder="1" applyAlignment="1">
      <alignment horizontal="right" vertical="center"/>
    </xf>
    <xf numFmtId="0" fontId="57" fillId="0" borderId="0" xfId="0" applyFont="1" applyFill="1" applyBorder="1" applyAlignment="1">
      <alignment horizontal="center" vertical="center"/>
    </xf>
    <xf numFmtId="0" fontId="57" fillId="0" borderId="50" xfId="0" applyFont="1" applyFill="1" applyBorder="1" applyAlignment="1">
      <alignment horizontal="center" vertical="center"/>
    </xf>
    <xf numFmtId="3" fontId="45" fillId="0" borderId="46" xfId="47" applyNumberFormat="1" applyFont="1" applyFill="1" applyBorder="1" applyAlignment="1">
      <alignment horizontal="right" vertical="center"/>
    </xf>
    <xf numFmtId="0" fontId="45" fillId="0" borderId="33" xfId="0" applyFont="1" applyFill="1" applyBorder="1" applyAlignment="1">
      <alignment horizontal="center" vertical="center"/>
    </xf>
    <xf numFmtId="49" fontId="46" fillId="0" borderId="33" xfId="0" applyNumberFormat="1" applyFont="1" applyFill="1" applyBorder="1" applyAlignment="1">
      <alignment horizontal="left" vertical="center"/>
    </xf>
    <xf numFmtId="0" fontId="46" fillId="0" borderId="33" xfId="0" applyFont="1" applyFill="1" applyBorder="1" applyAlignment="1">
      <alignment horizontal="center" vertical="center"/>
    </xf>
    <xf numFmtId="3" fontId="45" fillId="0" borderId="12" xfId="47" applyNumberFormat="1" applyFont="1" applyFill="1" applyBorder="1" applyAlignment="1">
      <alignment horizontal="right" vertical="center"/>
    </xf>
    <xf numFmtId="0" fontId="45" fillId="0" borderId="43" xfId="0" applyFont="1" applyBorder="1"/>
    <xf numFmtId="49" fontId="46" fillId="0" borderId="20" xfId="0" applyNumberFormat="1" applyFont="1" applyBorder="1" applyAlignment="1">
      <alignment horizontal="left" vertical="center"/>
    </xf>
    <xf numFmtId="0" fontId="46" fillId="0" borderId="20" xfId="0" applyFont="1" applyBorder="1" applyAlignment="1">
      <alignment horizontal="center" vertical="center"/>
    </xf>
    <xf numFmtId="3" fontId="62" fillId="42" borderId="40" xfId="47" applyNumberFormat="1" applyFont="1" applyFill="1" applyBorder="1" applyAlignment="1">
      <alignment horizontal="right" vertical="center"/>
    </xf>
    <xf numFmtId="0" fontId="45" fillId="0" borderId="83" xfId="0" applyFont="1" applyFill="1" applyBorder="1" applyAlignment="1">
      <alignment vertical="center" wrapText="1"/>
    </xf>
    <xf numFmtId="3" fontId="46" fillId="42" borderId="40" xfId="47" applyNumberFormat="1" applyFont="1" applyFill="1" applyBorder="1" applyAlignment="1">
      <alignment horizontal="right" vertical="center"/>
    </xf>
    <xf numFmtId="3" fontId="46" fillId="42" borderId="20" xfId="47" applyNumberFormat="1" applyFont="1" applyFill="1" applyBorder="1" applyAlignment="1">
      <alignment horizontal="right" vertical="center"/>
    </xf>
    <xf numFmtId="3" fontId="46" fillId="42" borderId="51" xfId="47" applyNumberFormat="1" applyFont="1" applyFill="1" applyBorder="1" applyAlignment="1">
      <alignment horizontal="right" vertical="center"/>
    </xf>
    <xf numFmtId="3" fontId="46" fillId="42" borderId="45" xfId="47" applyNumberFormat="1" applyFont="1" applyFill="1" applyBorder="1" applyAlignment="1">
      <alignment horizontal="right" vertical="center"/>
    </xf>
    <xf numFmtId="0" fontId="45" fillId="0" borderId="76" xfId="0" applyFont="1" applyBorder="1" applyAlignment="1">
      <alignment horizontal="center" vertical="center"/>
    </xf>
    <xf numFmtId="3" fontId="45" fillId="0" borderId="12" xfId="47" applyNumberFormat="1" applyFont="1" applyBorder="1" applyAlignment="1">
      <alignment horizontal="right" vertical="center"/>
    </xf>
    <xf numFmtId="3" fontId="46" fillId="0" borderId="0" xfId="47" applyNumberFormat="1" applyFont="1" applyFill="1" applyBorder="1" applyAlignment="1">
      <alignment vertical="center"/>
    </xf>
    <xf numFmtId="3" fontId="46" fillId="0" borderId="44" xfId="47" applyNumberFormat="1" applyFont="1" applyFill="1" applyBorder="1" applyAlignment="1">
      <alignment vertical="center"/>
    </xf>
    <xf numFmtId="0" fontId="45" fillId="0" borderId="77" xfId="0" applyFont="1" applyFill="1" applyBorder="1" applyAlignment="1">
      <alignment horizontal="left" vertical="center"/>
    </xf>
    <xf numFmtId="4" fontId="42" fillId="29" borderId="23" xfId="0" applyNumberFormat="1" applyFont="1" applyFill="1" applyBorder="1" applyAlignment="1">
      <alignment horizontal="right" vertical="center" wrapText="1"/>
    </xf>
    <xf numFmtId="0" fontId="44" fillId="29" borderId="23" xfId="0" applyFont="1" applyFill="1" applyBorder="1" applyAlignment="1">
      <alignment horizontal="left" wrapText="1"/>
    </xf>
    <xf numFmtId="49" fontId="42" fillId="29" borderId="23" xfId="0" applyNumberFormat="1" applyFont="1" applyFill="1" applyBorder="1" applyAlignment="1">
      <alignment horizontal="center" vertical="center"/>
    </xf>
    <xf numFmtId="49" fontId="44" fillId="29" borderId="23" xfId="0" applyNumberFormat="1" applyFont="1" applyFill="1" applyBorder="1" applyAlignment="1">
      <alignment horizontal="center"/>
    </xf>
    <xf numFmtId="2" fontId="49" fillId="0" borderId="18" xfId="0" applyNumberFormat="1" applyFont="1" applyFill="1" applyBorder="1" applyAlignment="1" applyProtection="1">
      <alignment horizontal="left" wrapText="1"/>
    </xf>
    <xf numFmtId="0" fontId="50" fillId="0" borderId="18" xfId="0" applyFont="1" applyBorder="1" applyAlignment="1">
      <alignment horizontal="left" wrapText="1"/>
    </xf>
    <xf numFmtId="0" fontId="48" fillId="31" borderId="11" xfId="0" applyFont="1" applyFill="1" applyBorder="1" applyAlignment="1" applyProtection="1">
      <alignment horizontal="left" vertical="top" wrapText="1"/>
    </xf>
    <xf numFmtId="0" fontId="49" fillId="0" borderId="18" xfId="0" applyFont="1" applyFill="1" applyBorder="1" applyAlignment="1" applyProtection="1">
      <alignment horizontal="left" wrapText="1"/>
    </xf>
    <xf numFmtId="0" fontId="49" fillId="0" borderId="19" xfId="0" applyFont="1" applyFill="1" applyBorder="1" applyAlignment="1" applyProtection="1">
      <alignment horizontal="left" vertical="top" wrapText="1"/>
    </xf>
    <xf numFmtId="0" fontId="49" fillId="0" borderId="18" xfId="0" applyFont="1" applyBorder="1" applyAlignment="1" applyProtection="1">
      <alignment horizontal="left" vertical="top" wrapText="1"/>
    </xf>
    <xf numFmtId="0" fontId="49" fillId="0" borderId="19" xfId="0" applyFont="1" applyBorder="1" applyAlignment="1" applyProtection="1">
      <alignment horizontal="left" vertical="top" wrapText="1"/>
    </xf>
    <xf numFmtId="0" fontId="46" fillId="29" borderId="18" xfId="0" applyFont="1" applyFill="1" applyBorder="1"/>
    <xf numFmtId="0" fontId="60" fillId="29" borderId="18" xfId="0" applyFont="1" applyFill="1" applyBorder="1" applyAlignment="1">
      <alignment horizontal="center" vertical="center"/>
    </xf>
    <xf numFmtId="0" fontId="60" fillId="29" borderId="18" xfId="0" applyFont="1" applyFill="1" applyBorder="1" applyAlignment="1">
      <alignment horizontal="left"/>
    </xf>
    <xf numFmtId="4" fontId="60" fillId="29" borderId="19" xfId="47" applyNumberFormat="1" applyFont="1" applyFill="1" applyBorder="1"/>
    <xf numFmtId="169" fontId="60" fillId="29" borderId="19" xfId="48" applyNumberFormat="1" applyFont="1" applyFill="1" applyBorder="1" applyAlignment="1">
      <alignment horizontal="right"/>
    </xf>
    <xf numFmtId="4" fontId="60" fillId="29" borderId="19" xfId="0" applyNumberFormat="1" applyFont="1" applyFill="1" applyBorder="1"/>
    <xf numFmtId="4" fontId="60" fillId="29" borderId="18" xfId="47" applyNumberFormat="1" applyFont="1" applyFill="1" applyBorder="1"/>
    <xf numFmtId="0" fontId="60" fillId="29" borderId="18" xfId="0" applyFont="1" applyFill="1" applyBorder="1"/>
    <xf numFmtId="3" fontId="46" fillId="29" borderId="40" xfId="47" applyNumberFormat="1" applyFont="1" applyFill="1" applyBorder="1" applyAlignment="1">
      <alignment horizontal="right" vertical="center"/>
    </xf>
    <xf numFmtId="3" fontId="46" fillId="29" borderId="20" xfId="47" applyNumberFormat="1" applyFont="1" applyFill="1" applyBorder="1" applyAlignment="1">
      <alignment vertical="center"/>
    </xf>
    <xf numFmtId="3" fontId="46" fillId="29" borderId="40" xfId="47" applyNumberFormat="1" applyFont="1" applyFill="1" applyBorder="1" applyAlignment="1">
      <alignment vertical="center"/>
    </xf>
    <xf numFmtId="4" fontId="45" fillId="0" borderId="0" xfId="0" applyNumberFormat="1" applyFont="1" applyFill="1" applyBorder="1"/>
    <xf numFmtId="0" fontId="45" fillId="0" borderId="43" xfId="0" applyFont="1" applyBorder="1" applyAlignment="1">
      <alignment horizontal="center" vertical="center"/>
    </xf>
    <xf numFmtId="0" fontId="45" fillId="0" borderId="44" xfId="0" applyFont="1" applyBorder="1" applyAlignment="1">
      <alignment horizontal="center" vertical="center"/>
    </xf>
    <xf numFmtId="0" fontId="45" fillId="0" borderId="49" xfId="0" applyFont="1" applyBorder="1" applyAlignment="1">
      <alignment horizontal="center" vertical="center"/>
    </xf>
    <xf numFmtId="0" fontId="45" fillId="0" borderId="50" xfId="0" applyFont="1" applyBorder="1" applyAlignment="1">
      <alignment horizontal="center" vertical="center"/>
    </xf>
    <xf numFmtId="3" fontId="46" fillId="35" borderId="50" xfId="47" applyNumberFormat="1" applyFont="1" applyFill="1" applyBorder="1" applyAlignment="1">
      <alignment horizontal="right" vertical="center"/>
    </xf>
    <xf numFmtId="0" fontId="45" fillId="0" borderId="96" xfId="0" applyFont="1" applyBorder="1" applyAlignment="1">
      <alignment horizontal="center" vertical="center"/>
    </xf>
    <xf numFmtId="3" fontId="23" fillId="0" borderId="97" xfId="49" applyNumberFormat="1" applyFont="1" applyFill="1" applyBorder="1" applyAlignment="1">
      <alignment horizontal="left" vertical="center" wrapText="1"/>
    </xf>
    <xf numFmtId="0" fontId="45" fillId="0" borderId="43" xfId="0" applyFont="1" applyBorder="1" applyAlignment="1">
      <alignment horizontal="center" vertical="center"/>
    </xf>
    <xf numFmtId="0" fontId="21" fillId="0" borderId="61" xfId="0" applyFont="1" applyFill="1" applyBorder="1" applyAlignment="1">
      <alignment horizontal="center" vertical="center" wrapText="1"/>
    </xf>
    <xf numFmtId="3" fontId="21" fillId="0" borderId="71" xfId="0" applyNumberFormat="1" applyFont="1" applyFill="1" applyBorder="1" applyAlignment="1">
      <alignment horizontal="left" vertical="center" wrapText="1"/>
    </xf>
    <xf numFmtId="3" fontId="39" fillId="0" borderId="20" xfId="0" applyNumberFormat="1" applyFont="1" applyFill="1" applyBorder="1" applyAlignment="1">
      <alignment horizontal="left" vertical="center" wrapText="1"/>
    </xf>
    <xf numFmtId="3" fontId="45" fillId="0" borderId="51" xfId="47" applyNumberFormat="1" applyFont="1" applyFill="1" applyBorder="1" applyAlignment="1">
      <alignment horizontal="right" vertical="center"/>
    </xf>
    <xf numFmtId="3" fontId="45" fillId="0" borderId="45" xfId="47" applyNumberFormat="1" applyFont="1" applyFill="1" applyBorder="1" applyAlignment="1">
      <alignment vertical="center"/>
    </xf>
    <xf numFmtId="0" fontId="45" fillId="0" borderId="44" xfId="0" applyFont="1" applyFill="1" applyBorder="1" applyAlignment="1">
      <alignment horizontal="center" vertical="center"/>
    </xf>
    <xf numFmtId="0" fontId="45" fillId="0" borderId="20" xfId="0" applyFont="1" applyFill="1" applyBorder="1" applyAlignment="1">
      <alignment horizontal="left" vertical="center" wrapText="1"/>
    </xf>
    <xf numFmtId="0" fontId="65" fillId="0" borderId="0" xfId="0" applyFont="1" applyFill="1" applyBorder="1" applyAlignment="1">
      <alignment horizontal="center" vertical="center"/>
    </xf>
    <xf numFmtId="0" fontId="72" fillId="39" borderId="51" xfId="0" applyFont="1" applyFill="1" applyBorder="1" applyAlignment="1">
      <alignment horizontal="center" vertical="center"/>
    </xf>
    <xf numFmtId="0" fontId="73" fillId="39" borderId="45" xfId="0" applyFont="1" applyFill="1" applyBorder="1" applyAlignment="1">
      <alignment vertical="center" wrapText="1"/>
    </xf>
    <xf numFmtId="3" fontId="73" fillId="39" borderId="51" xfId="47" applyNumberFormat="1" applyFont="1" applyFill="1" applyBorder="1" applyAlignment="1">
      <alignment horizontal="right" vertical="center"/>
    </xf>
    <xf numFmtId="3" fontId="73" fillId="39" borderId="20" xfId="47" applyNumberFormat="1" applyFont="1" applyFill="1" applyBorder="1" applyAlignment="1">
      <alignment horizontal="right" vertical="center"/>
    </xf>
    <xf numFmtId="3" fontId="73" fillId="39" borderId="40" xfId="47" applyNumberFormat="1" applyFont="1" applyFill="1" applyBorder="1" applyAlignment="1">
      <alignment vertical="center"/>
    </xf>
    <xf numFmtId="3" fontId="73" fillId="39" borderId="45" xfId="47" applyNumberFormat="1" applyFont="1" applyFill="1" applyBorder="1" applyAlignment="1">
      <alignment vertical="center"/>
    </xf>
    <xf numFmtId="0" fontId="45" fillId="0" borderId="43" xfId="0" applyFont="1" applyBorder="1" applyAlignment="1">
      <alignment horizontal="center" vertical="center"/>
    </xf>
    <xf numFmtId="3" fontId="23" fillId="0" borderId="64" xfId="49" applyNumberFormat="1" applyFont="1" applyFill="1" applyBorder="1" applyAlignment="1">
      <alignment horizontal="left" vertical="top" wrapText="1"/>
    </xf>
    <xf numFmtId="0" fontId="46" fillId="0" borderId="51" xfId="0" applyFont="1" applyFill="1" applyBorder="1" applyAlignment="1">
      <alignment horizontal="left" vertical="center"/>
    </xf>
    <xf numFmtId="3" fontId="46" fillId="0" borderId="40" xfId="47" applyNumberFormat="1" applyFont="1" applyFill="1" applyBorder="1" applyAlignment="1">
      <alignment horizontal="right" vertical="center"/>
    </xf>
    <xf numFmtId="0" fontId="45" fillId="0" borderId="43" xfId="0" applyFont="1" applyBorder="1" applyAlignment="1">
      <alignment horizontal="center" vertical="center"/>
    </xf>
    <xf numFmtId="0" fontId="45" fillId="0" borderId="43" xfId="0" applyFont="1" applyBorder="1" applyAlignment="1">
      <alignment horizontal="center" vertical="center"/>
    </xf>
    <xf numFmtId="0" fontId="21" fillId="0" borderId="50" xfId="0" applyFont="1" applyFill="1" applyBorder="1" applyAlignment="1">
      <alignment horizontal="center" vertical="center" wrapText="1"/>
    </xf>
    <xf numFmtId="0" fontId="45" fillId="0" borderId="50" xfId="0" applyFont="1" applyFill="1" applyBorder="1" applyAlignment="1">
      <alignment horizontal="center" vertical="center"/>
    </xf>
    <xf numFmtId="0" fontId="65" fillId="0" borderId="0" xfId="0" applyFont="1" applyBorder="1" applyAlignment="1">
      <alignment horizontal="center" vertical="center"/>
    </xf>
    <xf numFmtId="3" fontId="23" fillId="0" borderId="103" xfId="49" applyNumberFormat="1" applyFont="1" applyFill="1" applyBorder="1" applyAlignment="1">
      <alignment horizontal="left" vertical="center" wrapText="1"/>
    </xf>
    <xf numFmtId="3" fontId="39" fillId="0" borderId="104" xfId="0" applyNumberFormat="1" applyFont="1" applyFill="1" applyBorder="1" applyAlignment="1">
      <alignment horizontal="left" vertical="center" wrapText="1"/>
    </xf>
    <xf numFmtId="0" fontId="21" fillId="0" borderId="105" xfId="0" applyFont="1" applyBorder="1" applyAlignment="1">
      <alignment horizontal="center" vertical="center" wrapText="1"/>
    </xf>
    <xf numFmtId="0" fontId="21" fillId="0" borderId="105" xfId="0" applyFont="1" applyFill="1" applyBorder="1" applyAlignment="1">
      <alignment horizontal="center" vertical="center" wrapText="1"/>
    </xf>
    <xf numFmtId="3" fontId="39" fillId="0" borderId="103" xfId="0" applyNumberFormat="1" applyFont="1" applyFill="1" applyBorder="1" applyAlignment="1">
      <alignment horizontal="left" vertical="center" wrapText="1"/>
    </xf>
    <xf numFmtId="3" fontId="39" fillId="0" borderId="103" xfId="0" applyNumberFormat="1" applyFont="1" applyBorder="1" applyAlignment="1">
      <alignment horizontal="left" vertical="center" wrapText="1"/>
    </xf>
    <xf numFmtId="0" fontId="21" fillId="0" borderId="78" xfId="0" applyFont="1" applyBorder="1" applyAlignment="1">
      <alignment horizontal="center" vertical="center" wrapText="1"/>
    </xf>
    <xf numFmtId="3" fontId="39" fillId="0" borderId="73" xfId="0" applyNumberFormat="1" applyFont="1" applyBorder="1" applyAlignment="1">
      <alignment horizontal="left" vertical="center" wrapText="1"/>
    </xf>
    <xf numFmtId="3" fontId="39" fillId="0" borderId="65" xfId="0" applyNumberFormat="1" applyFont="1" applyBorder="1" applyAlignment="1">
      <alignment horizontal="left" vertical="center" wrapText="1"/>
    </xf>
    <xf numFmtId="0" fontId="45" fillId="0" borderId="46" xfId="0" applyFont="1" applyFill="1" applyBorder="1" applyAlignment="1">
      <alignment horizontal="left" vertical="center"/>
    </xf>
    <xf numFmtId="0" fontId="45" fillId="0" borderId="106" xfId="0" applyFont="1" applyBorder="1" applyAlignment="1">
      <alignment horizontal="center" vertical="center"/>
    </xf>
    <xf numFmtId="3" fontId="45" fillId="0" borderId="107" xfId="47" applyNumberFormat="1" applyFont="1" applyBorder="1" applyAlignment="1">
      <alignment horizontal="right" vertical="center"/>
    </xf>
    <xf numFmtId="0" fontId="45" fillId="0" borderId="105" xfId="0" applyFont="1" applyBorder="1" applyAlignment="1">
      <alignment horizontal="center" vertical="center"/>
    </xf>
    <xf numFmtId="3" fontId="39" fillId="0" borderId="104" xfId="0" applyNumberFormat="1" applyFont="1" applyBorder="1" applyAlignment="1">
      <alignment horizontal="left" vertical="center" wrapText="1"/>
    </xf>
    <xf numFmtId="0" fontId="45" fillId="0" borderId="43" xfId="0" applyFont="1" applyBorder="1" applyAlignment="1">
      <alignment horizontal="center" vertical="center"/>
    </xf>
    <xf numFmtId="0" fontId="45" fillId="0" borderId="44" xfId="0" applyFont="1" applyBorder="1" applyAlignment="1">
      <alignment horizontal="center" vertical="center"/>
    </xf>
    <xf numFmtId="3" fontId="46" fillId="35" borderId="51" xfId="47" applyNumberFormat="1" applyFont="1" applyFill="1" applyBorder="1" applyAlignment="1">
      <alignment horizontal="right" vertical="center"/>
    </xf>
    <xf numFmtId="3" fontId="46" fillId="35" borderId="45" xfId="47" applyNumberFormat="1" applyFont="1" applyFill="1" applyBorder="1" applyAlignment="1">
      <alignment horizontal="right" vertical="center"/>
    </xf>
    <xf numFmtId="0" fontId="45" fillId="0" borderId="43" xfId="0" applyFont="1" applyBorder="1" applyAlignment="1">
      <alignment horizontal="center" vertical="center"/>
    </xf>
    <xf numFmtId="0" fontId="45" fillId="0" borderId="43" xfId="0" applyFont="1" applyBorder="1" applyAlignment="1">
      <alignment horizontal="center" vertical="center"/>
    </xf>
    <xf numFmtId="3" fontId="39" fillId="0" borderId="67" xfId="0" applyNumberFormat="1" applyFont="1" applyFill="1" applyBorder="1" applyAlignment="1">
      <alignment horizontal="left" vertical="center" wrapText="1"/>
    </xf>
    <xf numFmtId="0" fontId="45" fillId="0" borderId="46" xfId="0" applyFont="1" applyBorder="1" applyAlignment="1">
      <alignment vertical="center" wrapText="1"/>
    </xf>
    <xf numFmtId="3" fontId="45" fillId="0" borderId="67" xfId="47" applyNumberFormat="1" applyFont="1" applyFill="1" applyBorder="1" applyAlignment="1">
      <alignment horizontal="right" vertical="center"/>
    </xf>
    <xf numFmtId="3" fontId="45" fillId="0" borderId="65" xfId="47" applyNumberFormat="1" applyFont="1" applyFill="1" applyBorder="1" applyAlignment="1">
      <alignment horizontal="right" vertical="top"/>
    </xf>
    <xf numFmtId="0" fontId="45" fillId="0" borderId="78" xfId="0" applyFont="1" applyFill="1" applyBorder="1" applyAlignment="1">
      <alignment horizontal="center" vertical="center"/>
    </xf>
    <xf numFmtId="0" fontId="45" fillId="0" borderId="112" xfId="0" applyFont="1" applyFill="1" applyBorder="1" applyAlignment="1">
      <alignment horizontal="center" vertical="center"/>
    </xf>
    <xf numFmtId="3" fontId="23" fillId="0" borderId="113" xfId="49" applyNumberFormat="1" applyFont="1" applyFill="1" applyBorder="1" applyAlignment="1">
      <alignment horizontal="left" vertical="center" wrapText="1"/>
    </xf>
    <xf numFmtId="3" fontId="39" fillId="0" borderId="111" xfId="0" applyNumberFormat="1" applyFont="1" applyBorder="1" applyAlignment="1">
      <alignment horizontal="left" vertical="center" wrapText="1"/>
    </xf>
    <xf numFmtId="0" fontId="65" fillId="0" borderId="67" xfId="0" applyFont="1" applyFill="1" applyBorder="1" applyAlignment="1">
      <alignment horizontal="center" vertical="center"/>
    </xf>
    <xf numFmtId="3" fontId="65" fillId="0" borderId="64" xfId="47" applyNumberFormat="1" applyFont="1" applyFill="1" applyBorder="1" applyAlignment="1">
      <alignment horizontal="right" vertical="center"/>
    </xf>
    <xf numFmtId="3" fontId="65" fillId="0" borderId="65" xfId="47" applyNumberFormat="1" applyFont="1" applyFill="1" applyBorder="1" applyAlignment="1">
      <alignment horizontal="right" vertical="center"/>
    </xf>
    <xf numFmtId="0" fontId="65" fillId="0" borderId="78" xfId="0" applyFont="1" applyFill="1" applyBorder="1" applyAlignment="1">
      <alignment horizontal="center" vertical="center"/>
    </xf>
    <xf numFmtId="3" fontId="65" fillId="0" borderId="74" xfId="47" applyNumberFormat="1" applyFont="1" applyFill="1" applyBorder="1" applyAlignment="1">
      <alignment horizontal="right" vertical="center"/>
    </xf>
    <xf numFmtId="0" fontId="45" fillId="0" borderId="109" xfId="0" applyFont="1" applyBorder="1" applyAlignment="1">
      <alignment horizontal="center" vertical="center"/>
    </xf>
    <xf numFmtId="0" fontId="45" fillId="0" borderId="43" xfId="0" applyFont="1" applyBorder="1" applyAlignment="1">
      <alignment horizontal="center" vertical="center"/>
    </xf>
    <xf numFmtId="49" fontId="46" fillId="29" borderId="18" xfId="0" applyNumberFormat="1" applyFont="1" applyFill="1" applyBorder="1" applyAlignment="1">
      <alignment horizontal="right"/>
    </xf>
    <xf numFmtId="0" fontId="45" fillId="0" borderId="19" xfId="0" applyFont="1" applyBorder="1" applyAlignment="1">
      <alignment horizontal="center" vertical="center"/>
    </xf>
    <xf numFmtId="0" fontId="75" fillId="0" borderId="19" xfId="0" applyFont="1" applyFill="1" applyBorder="1" applyAlignment="1" applyProtection="1">
      <alignment horizontal="center"/>
    </xf>
    <xf numFmtId="0" fontId="75" fillId="0" borderId="18" xfId="0" applyFont="1" applyFill="1" applyBorder="1" applyAlignment="1" applyProtection="1">
      <alignment horizontal="center"/>
    </xf>
    <xf numFmtId="0" fontId="75" fillId="0" borderId="19" xfId="0" applyFont="1" applyFill="1" applyBorder="1" applyAlignment="1" applyProtection="1">
      <alignment horizontal="center" vertical="top"/>
    </xf>
    <xf numFmtId="0" fontId="75" fillId="0" borderId="18" xfId="0" applyFont="1" applyFill="1" applyBorder="1" applyAlignment="1" applyProtection="1">
      <alignment horizontal="center" vertical="top"/>
    </xf>
    <xf numFmtId="0" fontId="49" fillId="0" borderId="19" xfId="0" applyFont="1" applyFill="1" applyBorder="1" applyAlignment="1" applyProtection="1">
      <alignment horizontal="left" wrapText="1"/>
    </xf>
    <xf numFmtId="0" fontId="60" fillId="29" borderId="18" xfId="0" applyFont="1" applyFill="1" applyBorder="1" applyAlignment="1">
      <alignment horizontal="left" wrapText="1"/>
    </xf>
    <xf numFmtId="0" fontId="56" fillId="44" borderId="18" xfId="0" applyFont="1" applyFill="1" applyBorder="1" applyAlignment="1">
      <alignment horizontal="center" vertical="center" wrapText="1"/>
    </xf>
    <xf numFmtId="168" fontId="41" fillId="6" borderId="19" xfId="0" applyNumberFormat="1" applyFont="1" applyFill="1" applyBorder="1" applyAlignment="1">
      <alignment horizontal="center" vertical="center" wrapText="1" shrinkToFit="1"/>
    </xf>
    <xf numFmtId="168" fontId="41" fillId="6" borderId="35" xfId="0" applyNumberFormat="1" applyFont="1" applyFill="1" applyBorder="1" applyAlignment="1">
      <alignment horizontal="center" vertical="center" wrapText="1" shrinkToFit="1"/>
    </xf>
    <xf numFmtId="49" fontId="41" fillId="25" borderId="18" xfId="29" applyNumberFormat="1" applyFont="1" applyFill="1" applyBorder="1" applyAlignment="1" applyProtection="1">
      <alignment horizontal="right" vertical="center" wrapText="1"/>
    </xf>
    <xf numFmtId="49" fontId="41" fillId="26" borderId="18" xfId="29" applyNumberFormat="1" applyFont="1" applyFill="1" applyBorder="1" applyAlignment="1" applyProtection="1">
      <alignment horizontal="right" vertical="center" wrapText="1"/>
    </xf>
    <xf numFmtId="49" fontId="41" fillId="27" borderId="18" xfId="29" applyNumberFormat="1" applyFont="1" applyFill="1" applyBorder="1" applyAlignment="1" applyProtection="1">
      <alignment horizontal="right" vertical="center" wrapText="1"/>
    </xf>
    <xf numFmtId="49" fontId="41" fillId="22" borderId="18" xfId="29" applyNumberFormat="1" applyFont="1" applyFill="1" applyBorder="1" applyAlignment="1" applyProtection="1">
      <alignment horizontal="right" vertical="center" wrapText="1"/>
    </xf>
    <xf numFmtId="49" fontId="56" fillId="0" borderId="18" xfId="29" applyNumberFormat="1" applyFont="1" applyFill="1" applyBorder="1" applyAlignment="1" applyProtection="1">
      <alignment horizontal="right" vertical="center" wrapText="1"/>
    </xf>
    <xf numFmtId="49" fontId="41" fillId="28" borderId="18" xfId="29" applyNumberFormat="1" applyFont="1" applyFill="1" applyBorder="1" applyAlignment="1" applyProtection="1">
      <alignment horizontal="right" vertical="center" wrapText="1"/>
    </xf>
    <xf numFmtId="49" fontId="41" fillId="20" borderId="18" xfId="29" applyNumberFormat="1" applyFont="1" applyFill="1" applyBorder="1" applyAlignment="1" applyProtection="1">
      <alignment horizontal="right" vertical="center" wrapText="1"/>
    </xf>
    <xf numFmtId="49" fontId="41" fillId="28" borderId="18" xfId="0" applyNumberFormat="1" applyFont="1" applyFill="1" applyBorder="1" applyAlignment="1">
      <alignment horizontal="right" vertical="top" wrapText="1"/>
    </xf>
    <xf numFmtId="49" fontId="41" fillId="32" borderId="18" xfId="0" applyNumberFormat="1" applyFont="1" applyFill="1" applyBorder="1" applyAlignment="1">
      <alignment horizontal="right" vertical="center" wrapText="1"/>
    </xf>
    <xf numFmtId="49" fontId="45" fillId="0" borderId="0" xfId="0" applyNumberFormat="1" applyFont="1" applyAlignment="1">
      <alignment horizontal="center" vertical="center"/>
    </xf>
    <xf numFmtId="49" fontId="45" fillId="0" borderId="11" xfId="0" applyNumberFormat="1" applyFont="1" applyBorder="1" applyAlignment="1">
      <alignment horizontal="center" vertical="center"/>
    </xf>
    <xf numFmtId="0" fontId="45" fillId="0" borderId="43" xfId="0" applyFont="1" applyBorder="1" applyAlignment="1">
      <alignment horizontal="center" vertical="center"/>
    </xf>
    <xf numFmtId="0" fontId="45" fillId="0" borderId="44" xfId="0" applyFont="1" applyBorder="1" applyAlignment="1">
      <alignment horizontal="center" vertical="center"/>
    </xf>
    <xf numFmtId="0" fontId="45" fillId="42" borderId="11" xfId="0" applyFont="1" applyFill="1" applyBorder="1"/>
    <xf numFmtId="0" fontId="45" fillId="0" borderId="88" xfId="0" applyFont="1" applyFill="1" applyBorder="1" applyAlignment="1">
      <alignment horizontal="center" vertical="center"/>
    </xf>
    <xf numFmtId="3" fontId="45" fillId="0" borderId="90" xfId="47" applyNumberFormat="1" applyFont="1" applyFill="1" applyBorder="1" applyAlignment="1">
      <alignment horizontal="right" vertical="center"/>
    </xf>
    <xf numFmtId="3" fontId="45" fillId="0" borderId="64" xfId="47" applyNumberFormat="1" applyFont="1" applyFill="1" applyBorder="1" applyAlignment="1">
      <alignment horizontal="right" vertical="top"/>
    </xf>
    <xf numFmtId="0" fontId="46" fillId="0" borderId="20" xfId="0" applyFont="1" applyFill="1" applyBorder="1" applyAlignment="1">
      <alignment horizontal="left" vertical="center"/>
    </xf>
    <xf numFmtId="0" fontId="45" fillId="0" borderId="118" xfId="0" applyFont="1" applyFill="1" applyBorder="1" applyAlignment="1">
      <alignment horizontal="center" vertical="center"/>
    </xf>
    <xf numFmtId="0" fontId="45" fillId="0" borderId="119" xfId="0" applyFont="1" applyFill="1" applyBorder="1" applyAlignment="1">
      <alignment vertical="center" wrapText="1"/>
    </xf>
    <xf numFmtId="3" fontId="45" fillId="0" borderId="120" xfId="47" applyNumberFormat="1" applyFont="1" applyFill="1" applyBorder="1" applyAlignment="1">
      <alignment horizontal="right" vertical="center"/>
    </xf>
    <xf numFmtId="3" fontId="46" fillId="40" borderId="47" xfId="47" applyNumberFormat="1" applyFont="1" applyFill="1" applyBorder="1" applyAlignment="1">
      <alignment horizontal="right" vertical="center"/>
    </xf>
    <xf numFmtId="0" fontId="45" fillId="0" borderId="67" xfId="0" applyFont="1" applyFill="1" applyBorder="1" applyAlignment="1">
      <alignment vertical="center" wrapText="1"/>
    </xf>
    <xf numFmtId="3" fontId="65" fillId="0" borderId="67" xfId="47" applyNumberFormat="1" applyFont="1" applyFill="1" applyBorder="1" applyAlignment="1">
      <alignment horizontal="right" vertical="center"/>
    </xf>
    <xf numFmtId="3" fontId="65" fillId="0" borderId="46" xfId="47" applyNumberFormat="1" applyFont="1" applyFill="1" applyBorder="1" applyAlignment="1">
      <alignment horizontal="right" vertical="center"/>
    </xf>
    <xf numFmtId="0" fontId="65" fillId="0" borderId="45" xfId="0" applyFont="1" applyBorder="1" applyAlignment="1">
      <alignment horizontal="center" vertical="center"/>
    </xf>
    <xf numFmtId="0" fontId="65" fillId="0" borderId="44" xfId="0" applyFont="1" applyBorder="1" applyAlignment="1">
      <alignment horizontal="center" vertical="center"/>
    </xf>
    <xf numFmtId="3" fontId="46" fillId="40" borderId="48" xfId="47" applyNumberFormat="1" applyFont="1" applyFill="1" applyBorder="1" applyAlignment="1">
      <alignment horizontal="right" vertical="center"/>
    </xf>
    <xf numFmtId="3" fontId="39" fillId="0" borderId="122" xfId="0" applyNumberFormat="1" applyFont="1" applyFill="1" applyBorder="1" applyAlignment="1">
      <alignment horizontal="left" vertical="center" wrapText="1"/>
    </xf>
    <xf numFmtId="0" fontId="46" fillId="0" borderId="41" xfId="0" applyFont="1" applyFill="1" applyBorder="1" applyAlignment="1">
      <alignment horizontal="left" vertical="center"/>
    </xf>
    <xf numFmtId="4" fontId="46" fillId="35" borderId="46" xfId="47" applyNumberFormat="1" applyFont="1" applyFill="1" applyBorder="1" applyAlignment="1">
      <alignment horizontal="right" vertical="center"/>
    </xf>
    <xf numFmtId="3" fontId="46" fillId="35" borderId="46" xfId="47" applyNumberFormat="1" applyFont="1" applyFill="1" applyBorder="1" applyAlignment="1">
      <alignment horizontal="right" vertical="center"/>
    </xf>
    <xf numFmtId="4" fontId="46" fillId="0" borderId="0" xfId="47" applyNumberFormat="1" applyFont="1" applyFill="1" applyBorder="1" applyAlignment="1">
      <alignment horizontal="right" vertical="center"/>
    </xf>
    <xf numFmtId="4" fontId="46" fillId="0" borderId="33" xfId="47" applyNumberFormat="1" applyFont="1" applyFill="1" applyBorder="1" applyAlignment="1">
      <alignment horizontal="right" vertical="center"/>
    </xf>
    <xf numFmtId="4" fontId="46" fillId="0" borderId="42" xfId="47" applyNumberFormat="1" applyFont="1" applyFill="1" applyBorder="1" applyAlignment="1">
      <alignment horizontal="right" vertical="center"/>
    </xf>
    <xf numFmtId="4" fontId="46" fillId="0" borderId="44" xfId="47" applyNumberFormat="1" applyFont="1" applyFill="1" applyBorder="1" applyAlignment="1">
      <alignment horizontal="right" vertical="center"/>
    </xf>
    <xf numFmtId="4" fontId="46" fillId="0" borderId="20" xfId="47" applyNumberFormat="1" applyFont="1" applyFill="1" applyBorder="1" applyAlignment="1">
      <alignment horizontal="right" vertical="center"/>
    </xf>
    <xf numFmtId="3" fontId="46" fillId="0" borderId="20" xfId="47" applyNumberFormat="1" applyFont="1" applyFill="1" applyBorder="1" applyAlignment="1">
      <alignment horizontal="right" vertical="center"/>
    </xf>
    <xf numFmtId="4" fontId="46" fillId="0" borderId="45" xfId="47" applyNumberFormat="1" applyFont="1" applyFill="1" applyBorder="1" applyAlignment="1">
      <alignment horizontal="right" vertical="center"/>
    </xf>
    <xf numFmtId="0" fontId="46" fillId="0" borderId="49" xfId="0" applyFont="1" applyFill="1" applyBorder="1" applyAlignment="1">
      <alignment horizontal="left" vertical="center" wrapText="1"/>
    </xf>
    <xf numFmtId="49" fontId="69" fillId="0" borderId="0" xfId="0" applyNumberFormat="1" applyFont="1" applyBorder="1" applyAlignment="1">
      <alignment horizontal="left" vertical="center"/>
    </xf>
    <xf numFmtId="0" fontId="57" fillId="0" borderId="52" xfId="0" applyFont="1" applyBorder="1" applyAlignment="1">
      <alignment horizontal="left" vertical="center"/>
    </xf>
    <xf numFmtId="3" fontId="45" fillId="0" borderId="42" xfId="47" applyNumberFormat="1" applyFont="1" applyFill="1" applyBorder="1" applyAlignment="1">
      <alignment horizontal="right" vertical="center"/>
    </xf>
    <xf numFmtId="0" fontId="46" fillId="0" borderId="41" xfId="0" applyFont="1" applyFill="1" applyBorder="1" applyAlignment="1">
      <alignment horizontal="center" vertical="center"/>
    </xf>
    <xf numFmtId="0" fontId="46" fillId="0" borderId="42" xfId="0" applyFont="1" applyFill="1" applyBorder="1" applyAlignment="1">
      <alignment horizontal="center" vertical="center"/>
    </xf>
    <xf numFmtId="3" fontId="45" fillId="0" borderId="61" xfId="47" applyNumberFormat="1" applyFont="1" applyFill="1" applyBorder="1" applyAlignment="1">
      <alignment horizontal="right" vertical="top"/>
    </xf>
    <xf numFmtId="49" fontId="54" fillId="0" borderId="11" xfId="0" applyNumberFormat="1" applyFont="1" applyBorder="1" applyAlignment="1">
      <alignment horizontal="center"/>
    </xf>
    <xf numFmtId="49" fontId="44" fillId="0" borderId="0" xfId="0" applyNumberFormat="1" applyFont="1" applyBorder="1" applyAlignment="1">
      <alignment horizontal="center" vertical="center" wrapText="1"/>
    </xf>
    <xf numFmtId="0" fontId="45" fillId="0" borderId="43" xfId="0" applyFont="1" applyBorder="1" applyAlignment="1">
      <alignment horizontal="center" vertical="center"/>
    </xf>
    <xf numFmtId="0" fontId="45" fillId="0" borderId="44" xfId="0" applyFont="1" applyBorder="1" applyAlignment="1">
      <alignment horizontal="center" vertical="center"/>
    </xf>
    <xf numFmtId="0" fontId="46" fillId="0" borderId="20" xfId="0" applyFont="1" applyFill="1" applyBorder="1" applyAlignment="1">
      <alignment horizontal="center" vertical="center"/>
    </xf>
    <xf numFmtId="0" fontId="57" fillId="0" borderId="48" xfId="0" applyFont="1" applyFill="1" applyBorder="1" applyAlignment="1">
      <alignment vertical="center" wrapText="1"/>
    </xf>
    <xf numFmtId="0" fontId="45" fillId="39" borderId="51" xfId="0" applyFont="1" applyFill="1" applyBorder="1" applyAlignment="1">
      <alignment horizontal="center" vertical="center"/>
    </xf>
    <xf numFmtId="49" fontId="45" fillId="0" borderId="33" xfId="0" applyNumberFormat="1" applyFont="1" applyBorder="1" applyAlignment="1">
      <alignment horizontal="left" vertical="center"/>
    </xf>
    <xf numFmtId="0" fontId="72" fillId="0" borderId="0" xfId="0" applyFont="1" applyFill="1" applyBorder="1" applyAlignment="1">
      <alignment horizontal="center" vertical="center"/>
    </xf>
    <xf numFmtId="0" fontId="73" fillId="0" borderId="0" xfId="0" applyFont="1" applyFill="1" applyBorder="1" applyAlignment="1">
      <alignment vertical="center" wrapText="1"/>
    </xf>
    <xf numFmtId="3" fontId="73" fillId="0" borderId="0" xfId="47" applyNumberFormat="1" applyFont="1" applyFill="1" applyBorder="1" applyAlignment="1">
      <alignment horizontal="right" vertical="center"/>
    </xf>
    <xf numFmtId="3" fontId="73" fillId="39" borderId="40" xfId="47" applyNumberFormat="1" applyFont="1" applyFill="1" applyBorder="1" applyAlignment="1">
      <alignment horizontal="right" vertical="center"/>
    </xf>
    <xf numFmtId="0" fontId="45" fillId="0" borderId="51" xfId="0" applyFont="1" applyFill="1" applyBorder="1" applyAlignment="1">
      <alignment horizontal="center" vertical="center"/>
    </xf>
    <xf numFmtId="0" fontId="45" fillId="0" borderId="20" xfId="0" applyFont="1" applyFill="1" applyBorder="1" applyAlignment="1">
      <alignment horizontal="center" vertical="center"/>
    </xf>
    <xf numFmtId="49" fontId="46" fillId="0" borderId="20" xfId="0" applyNumberFormat="1" applyFont="1" applyFill="1" applyBorder="1" applyAlignment="1">
      <alignment horizontal="left" vertical="center"/>
    </xf>
    <xf numFmtId="0" fontId="46" fillId="0" borderId="20" xfId="0" applyFont="1" applyFill="1" applyBorder="1" applyAlignment="1">
      <alignment horizontal="left" vertical="center" wrapText="1"/>
    </xf>
    <xf numFmtId="3" fontId="62" fillId="0" borderId="20" xfId="47" applyNumberFormat="1" applyFont="1" applyFill="1" applyBorder="1" applyAlignment="1">
      <alignment horizontal="right" vertical="center"/>
    </xf>
    <xf numFmtId="3" fontId="62" fillId="0" borderId="45" xfId="47" applyNumberFormat="1" applyFont="1" applyFill="1" applyBorder="1" applyAlignment="1">
      <alignment horizontal="right" vertical="center"/>
    </xf>
    <xf numFmtId="3" fontId="45" fillId="0" borderId="33" xfId="47" applyNumberFormat="1" applyFont="1" applyFill="1" applyBorder="1" applyAlignment="1">
      <alignment horizontal="right" vertical="center"/>
    </xf>
    <xf numFmtId="3" fontId="45" fillId="0" borderId="33" xfId="47" applyNumberFormat="1" applyFont="1" applyFill="1" applyBorder="1" applyAlignment="1">
      <alignment vertical="center"/>
    </xf>
    <xf numFmtId="0" fontId="57" fillId="0" borderId="43" xfId="0" applyFont="1" applyBorder="1" applyAlignment="1">
      <alignment horizontal="center" vertical="center"/>
    </xf>
    <xf numFmtId="3" fontId="45" fillId="0" borderId="44" xfId="47" applyNumberFormat="1" applyFont="1" applyBorder="1" applyAlignment="1">
      <alignment horizontal="right" vertical="center"/>
    </xf>
    <xf numFmtId="3" fontId="45" fillId="0" borderId="42" xfId="47" applyNumberFormat="1" applyFont="1" applyBorder="1" applyAlignment="1">
      <alignment horizontal="right" vertical="center"/>
    </xf>
    <xf numFmtId="0" fontId="40" fillId="0" borderId="21" xfId="49" applyFont="1" applyBorder="1" applyAlignment="1">
      <alignment horizontal="center" vertical="center" wrapText="1"/>
    </xf>
    <xf numFmtId="49" fontId="40" fillId="0" borderId="124" xfId="49" applyNumberFormat="1" applyFont="1" applyBorder="1" applyAlignment="1">
      <alignment horizontal="center" vertical="center" wrapText="1"/>
    </xf>
    <xf numFmtId="3" fontId="40" fillId="0" borderId="21" xfId="49" applyNumberFormat="1" applyFont="1" applyBorder="1" applyAlignment="1">
      <alignment horizontal="center" vertical="center" wrapText="1"/>
    </xf>
    <xf numFmtId="3" fontId="40" fillId="0" borderId="21" xfId="47" applyNumberFormat="1" applyFont="1" applyBorder="1" applyAlignment="1">
      <alignment horizontal="center" vertical="center" wrapText="1"/>
    </xf>
    <xf numFmtId="3" fontId="40" fillId="0" borderId="125" xfId="47" applyNumberFormat="1" applyFont="1" applyFill="1" applyBorder="1" applyAlignment="1">
      <alignment horizontal="center" vertical="center" wrapText="1"/>
    </xf>
    <xf numFmtId="49" fontId="45" fillId="29" borderId="51" xfId="0" applyNumberFormat="1" applyFont="1" applyFill="1" applyBorder="1" applyAlignment="1">
      <alignment horizontal="left" vertical="center"/>
    </xf>
    <xf numFmtId="0" fontId="45" fillId="0" borderId="127" xfId="0" applyFont="1" applyBorder="1" applyAlignment="1">
      <alignment horizontal="center" vertical="center"/>
    </xf>
    <xf numFmtId="0" fontId="45" fillId="0" borderId="128" xfId="0" applyFont="1" applyBorder="1" applyAlignment="1">
      <alignment horizontal="center" vertical="center"/>
    </xf>
    <xf numFmtId="3" fontId="21" fillId="0" borderId="126" xfId="0" applyNumberFormat="1" applyFont="1" applyBorder="1" applyAlignment="1">
      <alignment horizontal="left" vertical="center" wrapText="1"/>
    </xf>
    <xf numFmtId="3" fontId="23" fillId="0" borderId="126" xfId="49" applyNumberFormat="1" applyFont="1" applyFill="1" applyBorder="1" applyAlignment="1">
      <alignment horizontal="left" vertical="center" wrapText="1"/>
    </xf>
    <xf numFmtId="3" fontId="39" fillId="0" borderId="126" xfId="0" applyNumberFormat="1" applyFont="1" applyBorder="1" applyAlignment="1">
      <alignment horizontal="left" vertical="center" wrapText="1"/>
    </xf>
    <xf numFmtId="3" fontId="39" fillId="0" borderId="77" xfId="0" applyNumberFormat="1" applyFont="1" applyBorder="1" applyAlignment="1">
      <alignment horizontal="left" vertical="center" wrapText="1"/>
    </xf>
    <xf numFmtId="3" fontId="39" fillId="0" borderId="129" xfId="0" applyNumberFormat="1" applyFont="1" applyBorder="1" applyAlignment="1">
      <alignment horizontal="left" vertical="center" wrapText="1"/>
    </xf>
    <xf numFmtId="3" fontId="45" fillId="0" borderId="130" xfId="47" applyNumberFormat="1" applyFont="1" applyBorder="1" applyAlignment="1">
      <alignment horizontal="right" vertical="center"/>
    </xf>
    <xf numFmtId="165" fontId="45" fillId="0" borderId="11" xfId="0" applyNumberFormat="1" applyFont="1" applyBorder="1" applyAlignment="1">
      <alignment wrapText="1"/>
    </xf>
    <xf numFmtId="0" fontId="1" fillId="0" borderId="11" xfId="0" applyFont="1" applyBorder="1" applyAlignment="1">
      <alignment horizontal="center" vertical="center"/>
    </xf>
    <xf numFmtId="0" fontId="69" fillId="0" borderId="0" xfId="0" applyFont="1" applyAlignment="1">
      <alignment horizontal="center" vertical="center"/>
    </xf>
    <xf numFmtId="0" fontId="45" fillId="0" borderId="75" xfId="0" applyFont="1" applyFill="1" applyBorder="1" applyAlignment="1">
      <alignment horizontal="left" vertical="center"/>
    </xf>
    <xf numFmtId="0" fontId="69" fillId="46" borderId="11" xfId="0" applyFont="1" applyFill="1" applyBorder="1" applyAlignment="1">
      <alignment horizontal="center" vertical="center"/>
    </xf>
    <xf numFmtId="49" fontId="69" fillId="46" borderId="11" xfId="0" applyNumberFormat="1" applyFont="1" applyFill="1" applyBorder="1"/>
    <xf numFmtId="49" fontId="54" fillId="46" borderId="11" xfId="0" applyNumberFormat="1" applyFont="1" applyFill="1" applyBorder="1"/>
    <xf numFmtId="4" fontId="45" fillId="0" borderId="0" xfId="0" applyNumberFormat="1" applyFont="1"/>
    <xf numFmtId="0" fontId="45" fillId="0" borderId="0" xfId="0" applyFont="1" applyAlignment="1">
      <alignment horizontal="center"/>
    </xf>
    <xf numFmtId="0" fontId="77" fillId="0" borderId="11" xfId="0" applyFont="1" applyBorder="1" applyAlignment="1">
      <alignment horizontal="center"/>
    </xf>
    <xf numFmtId="0" fontId="1" fillId="47" borderId="11" xfId="0" applyFont="1" applyFill="1" applyBorder="1" applyAlignment="1">
      <alignment horizontal="center" vertical="center"/>
    </xf>
    <xf numFmtId="49" fontId="54" fillId="47" borderId="11" xfId="0" applyNumberFormat="1" applyFont="1" applyFill="1" applyBorder="1" applyAlignment="1">
      <alignment wrapText="1"/>
    </xf>
    <xf numFmtId="49" fontId="54" fillId="47" borderId="11" xfId="0" applyNumberFormat="1" applyFont="1" applyFill="1" applyBorder="1"/>
    <xf numFmtId="4" fontId="45" fillId="0" borderId="11" xfId="0" applyNumberFormat="1" applyFont="1" applyBorder="1" applyAlignment="1">
      <alignment horizontal="center"/>
    </xf>
    <xf numFmtId="165" fontId="45" fillId="0" borderId="11" xfId="0" applyNumberFormat="1" applyFont="1" applyBorder="1" applyAlignment="1">
      <alignment horizontal="center"/>
    </xf>
    <xf numFmtId="0" fontId="46" fillId="0" borderId="0" xfId="0" applyFont="1" applyFill="1" applyBorder="1" applyAlignment="1">
      <alignment horizontal="center" vertical="center" wrapText="1"/>
    </xf>
    <xf numFmtId="3" fontId="45" fillId="0" borderId="52" xfId="47" applyNumberFormat="1" applyFont="1" applyFill="1" applyBorder="1" applyAlignment="1">
      <alignment horizontal="right" vertical="center"/>
    </xf>
    <xf numFmtId="0" fontId="54" fillId="0" borderId="11" xfId="0" applyFont="1" applyBorder="1" applyAlignment="1">
      <alignment horizontal="center" vertical="center"/>
    </xf>
    <xf numFmtId="0" fontId="55" fillId="0" borderId="11" xfId="0" applyFont="1" applyBorder="1" applyAlignment="1">
      <alignment horizontal="center" vertical="center"/>
    </xf>
    <xf numFmtId="0" fontId="55" fillId="47" borderId="11" xfId="0" applyFont="1" applyFill="1" applyBorder="1" applyAlignment="1">
      <alignment horizontal="center" vertical="center"/>
    </xf>
    <xf numFmtId="0" fontId="45" fillId="46" borderId="11" xfId="0" applyFont="1" applyFill="1" applyBorder="1" applyAlignment="1">
      <alignment horizontal="center" vertical="center"/>
    </xf>
    <xf numFmtId="0" fontId="45" fillId="0" borderId="11" xfId="0" applyFont="1" applyBorder="1" applyAlignment="1">
      <alignment horizontal="center" vertical="center"/>
    </xf>
    <xf numFmtId="0" fontId="45" fillId="47" borderId="11" xfId="0" applyFont="1" applyFill="1" applyBorder="1" applyAlignment="1">
      <alignment horizontal="center" vertical="center"/>
    </xf>
    <xf numFmtId="0" fontId="69" fillId="47" borderId="11" xfId="0" applyFont="1" applyFill="1" applyBorder="1" applyAlignment="1">
      <alignment horizontal="center" vertical="center"/>
    </xf>
    <xf numFmtId="49" fontId="1" fillId="47" borderId="11" xfId="0" applyNumberFormat="1" applyFont="1" applyFill="1" applyBorder="1" applyAlignment="1">
      <alignment wrapText="1"/>
    </xf>
    <xf numFmtId="49" fontId="1" fillId="47" borderId="11" xfId="0" applyNumberFormat="1" applyFont="1" applyFill="1" applyBorder="1"/>
    <xf numFmtId="4" fontId="45" fillId="0" borderId="11" xfId="0" applyNumberFormat="1" applyFont="1" applyFill="1" applyBorder="1" applyAlignment="1">
      <alignment horizontal="center"/>
    </xf>
    <xf numFmtId="165" fontId="40" fillId="46" borderId="11" xfId="0" applyNumberFormat="1" applyFont="1" applyFill="1" applyBorder="1" applyAlignment="1">
      <alignment horizontal="right" wrapText="1"/>
    </xf>
    <xf numFmtId="4" fontId="46" fillId="46" borderId="11" xfId="0" applyNumberFormat="1" applyFont="1" applyFill="1" applyBorder="1" applyAlignment="1">
      <alignment horizontal="center"/>
    </xf>
    <xf numFmtId="4" fontId="40" fillId="47" borderId="11" xfId="0" applyNumberFormat="1" applyFont="1" applyFill="1" applyBorder="1"/>
    <xf numFmtId="165" fontId="40" fillId="47" borderId="11" xfId="0" applyNumberFormat="1" applyFont="1" applyFill="1" applyBorder="1" applyAlignment="1">
      <alignment horizontal="right" wrapText="1"/>
    </xf>
    <xf numFmtId="4" fontId="46" fillId="47" borderId="11" xfId="0" applyNumberFormat="1" applyFont="1" applyFill="1" applyBorder="1" applyAlignment="1">
      <alignment horizontal="center"/>
    </xf>
    <xf numFmtId="4" fontId="23" fillId="0" borderId="11" xfId="0" applyNumberFormat="1" applyFont="1" applyBorder="1" applyAlignment="1">
      <alignment vertical="top"/>
    </xf>
    <xf numFmtId="165" fontId="23" fillId="0" borderId="11" xfId="0" applyNumberFormat="1" applyFont="1" applyBorder="1" applyAlignment="1">
      <alignment horizontal="right" wrapText="1"/>
    </xf>
    <xf numFmtId="165" fontId="40" fillId="0" borderId="11" xfId="0" applyNumberFormat="1" applyFont="1" applyBorder="1" applyAlignment="1">
      <alignment horizontal="right" wrapText="1"/>
    </xf>
    <xf numFmtId="4" fontId="23" fillId="0" borderId="11" xfId="0" applyNumberFormat="1" applyFont="1" applyBorder="1" applyAlignment="1">
      <alignment horizontal="center" vertical="top"/>
    </xf>
    <xf numFmtId="165" fontId="40" fillId="0" borderId="11" xfId="0" applyNumberFormat="1" applyFont="1" applyBorder="1" applyAlignment="1">
      <alignment horizontal="center" wrapText="1"/>
    </xf>
    <xf numFmtId="165" fontId="46" fillId="47" borderId="11" xfId="0" applyNumberFormat="1" applyFont="1" applyFill="1" applyBorder="1" applyAlignment="1">
      <alignment horizontal="center"/>
    </xf>
    <xf numFmtId="4" fontId="23" fillId="0" borderId="11" xfId="0" applyNumberFormat="1" applyFont="1" applyBorder="1"/>
    <xf numFmtId="4" fontId="46" fillId="46" borderId="11" xfId="0" applyNumberFormat="1" applyFont="1" applyFill="1" applyBorder="1"/>
    <xf numFmtId="165" fontId="46" fillId="46" borderId="11" xfId="0" applyNumberFormat="1" applyFont="1" applyFill="1" applyBorder="1" applyAlignment="1">
      <alignment wrapText="1"/>
    </xf>
    <xf numFmtId="4" fontId="40" fillId="47" borderId="11" xfId="0" applyNumberFormat="1" applyFont="1" applyFill="1" applyBorder="1" applyAlignment="1">
      <alignment wrapText="1"/>
    </xf>
    <xf numFmtId="165" fontId="46" fillId="47" borderId="11" xfId="0" applyNumberFormat="1" applyFont="1" applyFill="1" applyBorder="1" applyAlignment="1">
      <alignment wrapText="1"/>
    </xf>
    <xf numFmtId="0" fontId="46" fillId="0" borderId="49" xfId="0" applyFont="1" applyFill="1" applyBorder="1" applyAlignment="1">
      <alignment horizontal="center" vertical="center"/>
    </xf>
    <xf numFmtId="3" fontId="45" fillId="0" borderId="49" xfId="47" applyNumberFormat="1" applyFont="1" applyFill="1" applyBorder="1" applyAlignment="1">
      <alignment horizontal="right" vertical="center"/>
    </xf>
    <xf numFmtId="0" fontId="45" fillId="0" borderId="43" xfId="0" applyFont="1" applyBorder="1" applyAlignment="1">
      <alignment horizontal="center" vertical="center"/>
    </xf>
    <xf numFmtId="0" fontId="45" fillId="0" borderId="44" xfId="0" applyFont="1" applyBorder="1" applyAlignment="1">
      <alignment horizontal="center" vertical="center"/>
    </xf>
    <xf numFmtId="0" fontId="45" fillId="0" borderId="43" xfId="0" applyFont="1" applyBorder="1" applyAlignment="1">
      <alignment horizontal="center" vertical="center"/>
    </xf>
    <xf numFmtId="0" fontId="21" fillId="0" borderId="132" xfId="0" applyFont="1" applyFill="1" applyBorder="1" applyAlignment="1">
      <alignment horizontal="center" vertical="center" wrapText="1"/>
    </xf>
    <xf numFmtId="0" fontId="21" fillId="0" borderId="132" xfId="0" applyFont="1" applyBorder="1" applyAlignment="1">
      <alignment horizontal="center" vertical="center" wrapText="1"/>
    </xf>
    <xf numFmtId="3" fontId="21" fillId="0" borderId="132" xfId="0" applyNumberFormat="1" applyFont="1" applyFill="1" applyBorder="1" applyAlignment="1">
      <alignment horizontal="left" vertical="center" wrapText="1"/>
    </xf>
    <xf numFmtId="3" fontId="39" fillId="0" borderId="132" xfId="0" applyNumberFormat="1" applyFont="1" applyBorder="1" applyAlignment="1">
      <alignment horizontal="left" vertical="center" wrapText="1"/>
    </xf>
    <xf numFmtId="3" fontId="39" fillId="0" borderId="132" xfId="0" applyNumberFormat="1" applyFont="1" applyFill="1" applyBorder="1" applyAlignment="1">
      <alignment horizontal="left" vertical="center" wrapText="1"/>
    </xf>
    <xf numFmtId="3" fontId="21" fillId="0" borderId="50" xfId="0" applyNumberFormat="1" applyFont="1" applyFill="1" applyBorder="1" applyAlignment="1">
      <alignment horizontal="left" vertical="center" wrapText="1"/>
    </xf>
    <xf numFmtId="0" fontId="46" fillId="29" borderId="41" xfId="0" applyFont="1" applyFill="1" applyBorder="1" applyAlignment="1">
      <alignment horizontal="center" vertical="center"/>
    </xf>
    <xf numFmtId="49" fontId="45" fillId="29" borderId="33" xfId="0" applyNumberFormat="1" applyFont="1" applyFill="1" applyBorder="1" applyAlignment="1">
      <alignment horizontal="left" vertical="center"/>
    </xf>
    <xf numFmtId="0" fontId="45" fillId="29" borderId="33" xfId="0" applyFont="1" applyFill="1" applyBorder="1" applyAlignment="1">
      <alignment horizontal="center" vertical="center"/>
    </xf>
    <xf numFmtId="3" fontId="22" fillId="29" borderId="33" xfId="49" applyNumberFormat="1" applyFont="1" applyFill="1" applyBorder="1" applyAlignment="1">
      <alignment horizontal="left" vertical="center" wrapText="1"/>
    </xf>
    <xf numFmtId="3" fontId="45" fillId="29" borderId="33" xfId="47" applyNumberFormat="1" applyFont="1" applyFill="1" applyBorder="1" applyAlignment="1">
      <alignment horizontal="right" vertical="center"/>
    </xf>
    <xf numFmtId="3" fontId="45" fillId="29" borderId="33" xfId="47" applyNumberFormat="1" applyFont="1" applyFill="1" applyBorder="1" applyAlignment="1">
      <alignment vertical="center"/>
    </xf>
    <xf numFmtId="3" fontId="45" fillId="29" borderId="42" xfId="47" applyNumberFormat="1" applyFont="1" applyFill="1" applyBorder="1" applyAlignment="1">
      <alignment vertical="center"/>
    </xf>
    <xf numFmtId="4" fontId="23" fillId="0" borderId="0" xfId="0" applyNumberFormat="1" applyFont="1" applyFill="1" applyBorder="1"/>
    <xf numFmtId="0" fontId="45" fillId="0" borderId="77" xfId="0" applyFont="1" applyBorder="1" applyAlignment="1">
      <alignment horizontal="center" vertical="center"/>
    </xf>
    <xf numFmtId="0" fontId="46" fillId="0" borderId="43" xfId="0" applyFont="1" applyFill="1" applyBorder="1" applyAlignment="1">
      <alignment horizontal="center" vertical="center"/>
    </xf>
    <xf numFmtId="0" fontId="45" fillId="0" borderId="135" xfId="0" applyFont="1" applyFill="1" applyBorder="1" applyAlignment="1">
      <alignment horizontal="center" vertical="center"/>
    </xf>
    <xf numFmtId="0" fontId="45" fillId="0" borderId="136" xfId="0" applyFont="1" applyFill="1" applyBorder="1" applyAlignment="1">
      <alignment horizontal="center" vertical="center"/>
    </xf>
    <xf numFmtId="3" fontId="45" fillId="0" borderId="20" xfId="47" applyNumberFormat="1" applyFont="1" applyFill="1" applyBorder="1" applyAlignment="1">
      <alignment horizontal="right" vertical="center"/>
    </xf>
    <xf numFmtId="3" fontId="46" fillId="0" borderId="20" xfId="47" applyNumberFormat="1" applyFont="1" applyFill="1" applyBorder="1" applyAlignment="1">
      <alignment vertical="center"/>
    </xf>
    <xf numFmtId="3" fontId="46" fillId="0" borderId="45" xfId="47" applyNumberFormat="1" applyFont="1" applyFill="1" applyBorder="1" applyAlignment="1">
      <alignment horizontal="right" vertical="center"/>
    </xf>
    <xf numFmtId="0" fontId="45" fillId="0" borderId="0" xfId="0" applyFont="1" applyFill="1" applyBorder="1" applyAlignment="1">
      <alignment horizontal="left" vertical="center"/>
    </xf>
    <xf numFmtId="0" fontId="46" fillId="0" borderId="49" xfId="0" applyFont="1" applyBorder="1" applyAlignment="1">
      <alignment vertical="center" wrapText="1"/>
    </xf>
    <xf numFmtId="0" fontId="46" fillId="0" borderId="52" xfId="0" applyFont="1" applyBorder="1" applyAlignment="1">
      <alignment vertical="center" wrapText="1"/>
    </xf>
    <xf numFmtId="0" fontId="57" fillId="0" borderId="50" xfId="0" applyFont="1" applyBorder="1" applyAlignment="1">
      <alignment vertical="center" wrapText="1"/>
    </xf>
    <xf numFmtId="0" fontId="46" fillId="0" borderId="43" xfId="0" applyFont="1" applyFill="1" applyBorder="1" applyAlignment="1">
      <alignment horizontal="left" vertical="center" wrapText="1"/>
    </xf>
    <xf numFmtId="0" fontId="46" fillId="0" borderId="0" xfId="0" applyFont="1" applyFill="1" applyBorder="1" applyAlignment="1">
      <alignment horizontal="left" vertical="center" wrapText="1"/>
    </xf>
    <xf numFmtId="0" fontId="46" fillId="0" borderId="41" xfId="0" applyFont="1" applyBorder="1" applyAlignment="1">
      <alignment vertical="center" wrapText="1"/>
    </xf>
    <xf numFmtId="3" fontId="46" fillId="0" borderId="41" xfId="47" applyNumberFormat="1" applyFont="1" applyBorder="1" applyAlignment="1">
      <alignment horizontal="right" vertical="center"/>
    </xf>
    <xf numFmtId="4" fontId="40" fillId="0" borderId="0" xfId="0" applyNumberFormat="1" applyFont="1" applyFill="1" applyBorder="1"/>
    <xf numFmtId="3" fontId="39" fillId="0" borderId="40" xfId="0" applyNumberFormat="1" applyFont="1" applyFill="1" applyBorder="1" applyAlignment="1">
      <alignment horizontal="left" vertical="center" wrapText="1"/>
    </xf>
    <xf numFmtId="0" fontId="45" fillId="0" borderId="43" xfId="0" applyFont="1" applyBorder="1" applyAlignment="1">
      <alignment horizontal="center" vertical="center"/>
    </xf>
    <xf numFmtId="0" fontId="45" fillId="0" borderId="43" xfId="0" applyFont="1" applyBorder="1" applyAlignment="1">
      <alignment horizontal="center" vertical="center"/>
    </xf>
    <xf numFmtId="0" fontId="45" fillId="42" borderId="67" xfId="0" applyFont="1" applyFill="1" applyBorder="1" applyAlignment="1">
      <alignment horizontal="center" vertical="center"/>
    </xf>
    <xf numFmtId="0" fontId="45" fillId="42" borderId="67" xfId="0" applyFont="1" applyFill="1" applyBorder="1" applyAlignment="1">
      <alignment vertical="center" wrapText="1"/>
    </xf>
    <xf numFmtId="3" fontId="65" fillId="42" borderId="67" xfId="47" applyNumberFormat="1" applyFont="1" applyFill="1" applyBorder="1" applyAlignment="1">
      <alignment horizontal="right" vertical="center"/>
    </xf>
    <xf numFmtId="3" fontId="65" fillId="42" borderId="46" xfId="47" applyNumberFormat="1" applyFont="1" applyFill="1" applyBorder="1" applyAlignment="1">
      <alignment horizontal="right" vertical="center"/>
    </xf>
    <xf numFmtId="0" fontId="45" fillId="42" borderId="0" xfId="0" applyFont="1" applyFill="1" applyBorder="1" applyAlignment="1">
      <alignment horizontal="center" vertical="center"/>
    </xf>
    <xf numFmtId="3" fontId="23" fillId="42" borderId="65" xfId="49" applyNumberFormat="1" applyFont="1" applyFill="1" applyBorder="1" applyAlignment="1">
      <alignment horizontal="left" vertical="center" wrapText="1"/>
    </xf>
    <xf numFmtId="0" fontId="45" fillId="42" borderId="68" xfId="0" applyFont="1" applyFill="1" applyBorder="1" applyAlignment="1">
      <alignment horizontal="center" vertical="center"/>
    </xf>
    <xf numFmtId="3" fontId="39" fillId="42" borderId="62" xfId="0" applyNumberFormat="1" applyFont="1" applyFill="1" applyBorder="1" applyAlignment="1">
      <alignment horizontal="left" vertical="center" wrapText="1"/>
    </xf>
    <xf numFmtId="3" fontId="45" fillId="42" borderId="65" xfId="47" applyNumberFormat="1" applyFont="1" applyFill="1" applyBorder="1" applyAlignment="1">
      <alignment horizontal="right" vertical="center"/>
    </xf>
    <xf numFmtId="3" fontId="45" fillId="42" borderId="66" xfId="47" applyNumberFormat="1" applyFont="1" applyFill="1" applyBorder="1" applyAlignment="1">
      <alignment horizontal="right" vertical="center"/>
    </xf>
    <xf numFmtId="0" fontId="45" fillId="42" borderId="61" xfId="0" applyFont="1" applyFill="1" applyBorder="1" applyAlignment="1">
      <alignment vertical="center" wrapText="1"/>
    </xf>
    <xf numFmtId="3" fontId="45" fillId="42" borderId="64" xfId="47" applyNumberFormat="1" applyFont="1" applyFill="1" applyBorder="1" applyAlignment="1">
      <alignment horizontal="right" vertical="center"/>
    </xf>
    <xf numFmtId="0" fontId="45" fillId="42" borderId="127" xfId="0" applyFont="1" applyFill="1" applyBorder="1" applyAlignment="1">
      <alignment horizontal="center" vertical="center"/>
    </xf>
    <xf numFmtId="3" fontId="39" fillId="42" borderId="126" xfId="0" applyNumberFormat="1" applyFont="1" applyFill="1" applyBorder="1" applyAlignment="1">
      <alignment horizontal="left" vertical="center" wrapText="1"/>
    </xf>
    <xf numFmtId="0" fontId="45" fillId="42" borderId="138" xfId="0" applyFont="1" applyFill="1" applyBorder="1" applyAlignment="1">
      <alignment horizontal="center" vertical="center"/>
    </xf>
    <xf numFmtId="3" fontId="39" fillId="42" borderId="139" xfId="0" applyNumberFormat="1" applyFont="1" applyFill="1" applyBorder="1" applyAlignment="1">
      <alignment horizontal="left" vertical="center" wrapText="1"/>
    </xf>
    <xf numFmtId="3" fontId="39" fillId="42" borderId="50" xfId="0" applyNumberFormat="1" applyFont="1" applyFill="1" applyBorder="1" applyAlignment="1">
      <alignment horizontal="left" vertical="center" wrapText="1"/>
    </xf>
    <xf numFmtId="3" fontId="23" fillId="42" borderId="126" xfId="49" applyNumberFormat="1" applyFont="1" applyFill="1" applyBorder="1" applyAlignment="1">
      <alignment horizontal="left" vertical="center" wrapText="1"/>
    </xf>
    <xf numFmtId="0" fontId="45" fillId="42" borderId="68" xfId="0" applyFont="1" applyFill="1" applyBorder="1" applyAlignment="1">
      <alignment horizontal="left" vertical="center"/>
    </xf>
    <xf numFmtId="0" fontId="45" fillId="42" borderId="62" xfId="0" applyFont="1" applyFill="1" applyBorder="1" applyAlignment="1">
      <alignment horizontal="left" vertical="center"/>
    </xf>
    <xf numFmtId="3" fontId="39" fillId="42" borderId="61" xfId="0" applyNumberFormat="1" applyFont="1" applyFill="1" applyBorder="1" applyAlignment="1">
      <alignment horizontal="left" vertical="center" wrapText="1"/>
    </xf>
    <xf numFmtId="0" fontId="21" fillId="42" borderId="67" xfId="0" applyFont="1" applyFill="1" applyBorder="1" applyAlignment="1">
      <alignment horizontal="center" vertical="center" wrapText="1"/>
    </xf>
    <xf numFmtId="3" fontId="39" fillId="42" borderId="77" xfId="0" applyNumberFormat="1" applyFont="1" applyFill="1" applyBorder="1" applyAlignment="1">
      <alignment horizontal="left" vertical="center" wrapText="1"/>
    </xf>
    <xf numFmtId="0" fontId="45" fillId="0" borderId="43" xfId="0" applyFont="1" applyBorder="1" applyAlignment="1">
      <alignment horizontal="center" vertical="center"/>
    </xf>
    <xf numFmtId="49" fontId="41" fillId="48" borderId="18" xfId="0" applyNumberFormat="1" applyFont="1" applyFill="1" applyBorder="1" applyAlignment="1">
      <alignment horizontal="center" vertical="center" wrapText="1"/>
    </xf>
    <xf numFmtId="0" fontId="21" fillId="0" borderId="140" xfId="0" applyFont="1" applyBorder="1" applyAlignment="1">
      <alignment horizontal="center" vertical="center" wrapText="1"/>
    </xf>
    <xf numFmtId="3" fontId="39" fillId="0" borderId="141" xfId="0" applyNumberFormat="1" applyFont="1" applyBorder="1" applyAlignment="1">
      <alignment horizontal="left" vertical="center" wrapText="1"/>
    </xf>
    <xf numFmtId="49" fontId="45" fillId="0" borderId="44" xfId="0" applyNumberFormat="1" applyFont="1" applyBorder="1" applyAlignment="1">
      <alignment horizontal="center" vertical="center"/>
    </xf>
    <xf numFmtId="0" fontId="45" fillId="30" borderId="43" xfId="0" applyFont="1" applyFill="1" applyBorder="1" applyAlignment="1">
      <alignment horizontal="center" vertical="center"/>
    </xf>
    <xf numFmtId="0" fontId="45" fillId="30" borderId="0" xfId="0" applyFont="1" applyFill="1" applyBorder="1" applyAlignment="1">
      <alignment horizontal="center" vertical="center"/>
    </xf>
    <xf numFmtId="49" fontId="46" fillId="30" borderId="0" xfId="0" applyNumberFormat="1" applyFont="1" applyFill="1" applyBorder="1" applyAlignment="1">
      <alignment horizontal="left" vertical="center"/>
    </xf>
    <xf numFmtId="0" fontId="46" fillId="30" borderId="0" xfId="0" applyFont="1" applyFill="1" applyBorder="1" applyAlignment="1">
      <alignment horizontal="center" vertical="center"/>
    </xf>
    <xf numFmtId="0" fontId="46" fillId="30" borderId="51" xfId="0" applyFont="1" applyFill="1" applyBorder="1" applyAlignment="1">
      <alignment horizontal="left" vertical="center" wrapText="1"/>
    </xf>
    <xf numFmtId="0" fontId="46" fillId="30" borderId="20" xfId="0" applyFont="1" applyFill="1" applyBorder="1" applyAlignment="1">
      <alignment horizontal="left" vertical="center" wrapText="1"/>
    </xf>
    <xf numFmtId="3" fontId="46" fillId="30" borderId="20" xfId="47" applyNumberFormat="1" applyFont="1" applyFill="1" applyBorder="1" applyAlignment="1">
      <alignment horizontal="right" vertical="center"/>
    </xf>
    <xf numFmtId="3" fontId="46" fillId="30" borderId="20" xfId="47" applyNumberFormat="1" applyFont="1" applyFill="1" applyBorder="1" applyAlignment="1">
      <alignment vertical="center"/>
    </xf>
    <xf numFmtId="3" fontId="46" fillId="30" borderId="45" xfId="47" applyNumberFormat="1" applyFont="1" applyFill="1" applyBorder="1" applyAlignment="1">
      <alignment vertical="center"/>
    </xf>
    <xf numFmtId="49" fontId="65" fillId="0" borderId="0" xfId="0" applyNumberFormat="1" applyFont="1" applyBorder="1" applyAlignment="1">
      <alignment horizontal="center" vertical="center"/>
    </xf>
    <xf numFmtId="0" fontId="57" fillId="0" borderId="44" xfId="0" applyFont="1" applyFill="1" applyBorder="1" applyAlignment="1">
      <alignment vertical="center" wrapText="1"/>
    </xf>
    <xf numFmtId="0" fontId="45" fillId="0" borderId="140" xfId="0" applyFont="1" applyFill="1" applyBorder="1" applyAlignment="1">
      <alignment horizontal="center" vertical="center"/>
    </xf>
    <xf numFmtId="0" fontId="45" fillId="0" borderId="142" xfId="0" applyFont="1" applyFill="1" applyBorder="1" applyAlignment="1">
      <alignment horizontal="center" vertical="center"/>
    </xf>
    <xf numFmtId="0" fontId="45" fillId="0" borderId="61" xfId="0" applyFont="1" applyFill="1" applyBorder="1" applyAlignment="1">
      <alignment vertical="center" wrapText="1"/>
    </xf>
    <xf numFmtId="0" fontId="45" fillId="42" borderId="45" xfId="0" applyFont="1" applyFill="1" applyBorder="1" applyAlignment="1">
      <alignment horizontal="center" vertical="center"/>
    </xf>
    <xf numFmtId="3" fontId="23" fillId="42" borderId="46" xfId="49" applyNumberFormat="1" applyFont="1" applyFill="1" applyBorder="1" applyAlignment="1">
      <alignment horizontal="left" vertical="center" wrapText="1"/>
    </xf>
    <xf numFmtId="0" fontId="45" fillId="0" borderId="73" xfId="0" applyFont="1" applyFill="1" applyBorder="1" applyAlignment="1">
      <alignment vertical="center" wrapText="1"/>
    </xf>
    <xf numFmtId="0" fontId="45" fillId="0" borderId="20" xfId="0" applyFont="1" applyFill="1" applyBorder="1" applyAlignment="1">
      <alignment vertical="center" wrapText="1"/>
    </xf>
    <xf numFmtId="0" fontId="65" fillId="0" borderId="61" xfId="0" applyFont="1" applyFill="1" applyBorder="1" applyAlignment="1">
      <alignment horizontal="center" vertical="center"/>
    </xf>
    <xf numFmtId="0" fontId="65" fillId="0" borderId="67" xfId="0" applyFont="1" applyFill="1" applyBorder="1" applyAlignment="1">
      <alignment vertical="center" wrapText="1"/>
    </xf>
    <xf numFmtId="0" fontId="45" fillId="42" borderId="76" xfId="0" applyFont="1" applyFill="1" applyBorder="1" applyAlignment="1">
      <alignment horizontal="center" vertical="center"/>
    </xf>
    <xf numFmtId="3" fontId="45" fillId="42" borderId="12" xfId="47" applyNumberFormat="1" applyFont="1" applyFill="1" applyBorder="1" applyAlignment="1">
      <alignment horizontal="right" vertical="center"/>
    </xf>
    <xf numFmtId="3" fontId="21" fillId="42" borderId="62" xfId="0" applyNumberFormat="1" applyFont="1" applyFill="1" applyBorder="1" applyAlignment="1">
      <alignment horizontal="left" vertical="center" wrapText="1"/>
    </xf>
    <xf numFmtId="0" fontId="45" fillId="42" borderId="40" xfId="0" applyFont="1" applyFill="1" applyBorder="1" applyAlignment="1">
      <alignment horizontal="left" vertical="center"/>
    </xf>
    <xf numFmtId="0" fontId="45" fillId="42" borderId="67" xfId="0" applyFont="1" applyFill="1" applyBorder="1" applyAlignment="1">
      <alignment horizontal="center"/>
    </xf>
    <xf numFmtId="3" fontId="45" fillId="42" borderId="64" xfId="0" applyNumberFormat="1" applyFont="1" applyFill="1" applyBorder="1"/>
    <xf numFmtId="0" fontId="21" fillId="42" borderId="89" xfId="0" applyFont="1" applyFill="1" applyBorder="1" applyAlignment="1">
      <alignment horizontal="center" vertical="center" wrapText="1"/>
    </xf>
    <xf numFmtId="0" fontId="21" fillId="42" borderId="68" xfId="0" applyFont="1" applyFill="1" applyBorder="1" applyAlignment="1">
      <alignment horizontal="center" vertical="center" wrapText="1"/>
    </xf>
    <xf numFmtId="3" fontId="23" fillId="42" borderId="61" xfId="49" applyNumberFormat="1" applyFont="1" applyFill="1" applyBorder="1" applyAlignment="1">
      <alignment horizontal="left" vertical="center" wrapText="1"/>
    </xf>
    <xf numFmtId="3" fontId="58" fillId="0" borderId="43" xfId="49" applyNumberFormat="1" applyFont="1" applyFill="1" applyBorder="1" applyAlignment="1">
      <alignment horizontal="left" vertical="center" wrapText="1"/>
    </xf>
    <xf numFmtId="3" fontId="46" fillId="0" borderId="43" xfId="47" applyNumberFormat="1" applyFont="1" applyFill="1" applyBorder="1" applyAlignment="1">
      <alignment horizontal="right" vertical="center"/>
    </xf>
    <xf numFmtId="3" fontId="46" fillId="0" borderId="52" xfId="47" applyNumberFormat="1" applyFont="1" applyFill="1" applyBorder="1" applyAlignment="1">
      <alignment vertical="center"/>
    </xf>
    <xf numFmtId="3" fontId="45" fillId="42" borderId="11" xfId="0" applyNumberFormat="1" applyFont="1" applyFill="1" applyBorder="1" applyAlignment="1">
      <alignment horizontal="right" vertical="center"/>
    </xf>
    <xf numFmtId="165" fontId="45" fillId="0" borderId="11" xfId="0" applyNumberFormat="1" applyFont="1" applyBorder="1" applyAlignment="1">
      <alignment horizontal="right" vertical="center"/>
    </xf>
    <xf numFmtId="3" fontId="45" fillId="45" borderId="11" xfId="0" applyNumberFormat="1" applyFont="1" applyFill="1" applyBorder="1" applyAlignment="1">
      <alignment horizontal="right" vertical="center"/>
    </xf>
    <xf numFmtId="3" fontId="69" fillId="0" borderId="0" xfId="0" applyNumberFormat="1" applyFont="1" applyAlignment="1">
      <alignment horizontal="right" vertical="center"/>
    </xf>
    <xf numFmtId="165" fontId="45" fillId="0" borderId="11" xfId="0" applyNumberFormat="1" applyFont="1" applyBorder="1" applyAlignment="1"/>
    <xf numFmtId="165" fontId="45" fillId="45" borderId="11" xfId="0" applyNumberFormat="1" applyFont="1" applyFill="1" applyBorder="1" applyAlignment="1"/>
    <xf numFmtId="49" fontId="78" fillId="49" borderId="11" xfId="0" applyNumberFormat="1" applyFont="1" applyFill="1" applyBorder="1" applyAlignment="1">
      <alignment horizontal="center"/>
    </xf>
    <xf numFmtId="0" fontId="78" fillId="49" borderId="11" xfId="0" applyFont="1" applyFill="1" applyBorder="1" applyAlignment="1">
      <alignment horizontal="left" wrapText="1"/>
    </xf>
    <xf numFmtId="165" fontId="78" fillId="49" borderId="11" xfId="29" applyNumberFormat="1" applyFont="1" applyFill="1" applyBorder="1" applyAlignment="1" applyProtection="1">
      <alignment horizontal="right" vertical="center" wrapText="1"/>
    </xf>
    <xf numFmtId="169" fontId="78" fillId="49" borderId="11" xfId="48" applyNumberFormat="1" applyFont="1" applyFill="1" applyBorder="1" applyAlignment="1">
      <alignment horizontal="right" vertical="center" wrapText="1"/>
    </xf>
    <xf numFmtId="0" fontId="45" fillId="0" borderId="44" xfId="0" applyFont="1" applyBorder="1" applyAlignment="1">
      <alignment horizontal="center" vertical="center"/>
    </xf>
    <xf numFmtId="3" fontId="39" fillId="42" borderId="71" xfId="0" applyNumberFormat="1" applyFont="1" applyFill="1" applyBorder="1" applyAlignment="1">
      <alignment horizontal="left" vertical="center" wrapText="1"/>
    </xf>
    <xf numFmtId="3" fontId="21" fillId="42" borderId="126" xfId="0" applyNumberFormat="1" applyFont="1" applyFill="1" applyBorder="1" applyAlignment="1">
      <alignment horizontal="left" vertical="center" wrapText="1"/>
    </xf>
    <xf numFmtId="0" fontId="65" fillId="42" borderId="78" xfId="0" applyFont="1" applyFill="1" applyBorder="1" applyAlignment="1">
      <alignment horizontal="center" vertical="center"/>
    </xf>
    <xf numFmtId="3" fontId="39" fillId="42" borderId="122" xfId="0" applyNumberFormat="1" applyFont="1" applyFill="1" applyBorder="1" applyAlignment="1">
      <alignment horizontal="left" vertical="center" wrapText="1"/>
    </xf>
    <xf numFmtId="3" fontId="65" fillId="42" borderId="74" xfId="47" applyNumberFormat="1" applyFont="1" applyFill="1" applyBorder="1" applyAlignment="1">
      <alignment horizontal="right" vertical="center"/>
    </xf>
    <xf numFmtId="0" fontId="65" fillId="42" borderId="123" xfId="0" applyFont="1" applyFill="1" applyBorder="1" applyAlignment="1">
      <alignment horizontal="center" vertical="center"/>
    </xf>
    <xf numFmtId="3" fontId="65" fillId="42" borderId="65" xfId="47" applyNumberFormat="1" applyFont="1" applyFill="1" applyBorder="1" applyAlignment="1">
      <alignment horizontal="right" vertical="center"/>
    </xf>
    <xf numFmtId="0" fontId="45" fillId="42" borderId="78" xfId="0" applyFont="1" applyFill="1" applyBorder="1" applyAlignment="1">
      <alignment horizontal="center" vertical="center"/>
    </xf>
    <xf numFmtId="3" fontId="23" fillId="42" borderId="62" xfId="49" applyNumberFormat="1" applyFont="1" applyFill="1" applyBorder="1" applyAlignment="1">
      <alignment horizontal="left" vertical="center" wrapText="1"/>
    </xf>
    <xf numFmtId="3" fontId="45" fillId="42" borderId="74" xfId="47" applyNumberFormat="1" applyFont="1" applyFill="1" applyBorder="1" applyAlignment="1">
      <alignment horizontal="right" vertical="center"/>
    </xf>
    <xf numFmtId="0" fontId="45" fillId="0" borderId="69" xfId="0" applyFont="1" applyFill="1" applyBorder="1" applyAlignment="1">
      <alignment horizontal="center" vertical="center"/>
    </xf>
    <xf numFmtId="3" fontId="39" fillId="0" borderId="63" xfId="0" applyNumberFormat="1" applyFont="1" applyFill="1" applyBorder="1" applyAlignment="1">
      <alignment horizontal="left" vertical="center" wrapText="1"/>
    </xf>
    <xf numFmtId="0" fontId="21" fillId="0" borderId="76" xfId="0" applyFont="1" applyBorder="1" applyAlignment="1">
      <alignment horizontal="center" vertical="center" wrapText="1"/>
    </xf>
    <xf numFmtId="0" fontId="0" fillId="0" borderId="11" xfId="0" applyBorder="1"/>
    <xf numFmtId="0" fontId="0" fillId="0" borderId="0" xfId="0" applyBorder="1"/>
    <xf numFmtId="0" fontId="0" fillId="0" borderId="12" xfId="0" applyBorder="1"/>
    <xf numFmtId="3" fontId="39" fillId="42" borderId="67" xfId="0" applyNumberFormat="1" applyFont="1" applyFill="1" applyBorder="1" applyAlignment="1">
      <alignment horizontal="left" vertical="center" wrapText="1"/>
    </xf>
    <xf numFmtId="3" fontId="39" fillId="0" borderId="150" xfId="0" applyNumberFormat="1" applyFont="1" applyBorder="1" applyAlignment="1">
      <alignment horizontal="left" vertical="center" wrapText="1"/>
    </xf>
    <xf numFmtId="3" fontId="39" fillId="42" borderId="150" xfId="0" applyNumberFormat="1" applyFont="1" applyFill="1" applyBorder="1" applyAlignment="1">
      <alignment horizontal="left" vertical="center" wrapText="1"/>
    </xf>
    <xf numFmtId="3" fontId="39" fillId="0" borderId="150" xfId="0" applyNumberFormat="1" applyFont="1" applyFill="1" applyBorder="1" applyAlignment="1">
      <alignment horizontal="left" vertical="center" wrapText="1"/>
    </xf>
    <xf numFmtId="3" fontId="39" fillId="0" borderId="151" xfId="0" applyNumberFormat="1" applyFont="1" applyBorder="1" applyAlignment="1">
      <alignment horizontal="left" vertical="center" wrapText="1"/>
    </xf>
    <xf numFmtId="3" fontId="21" fillId="0" borderId="152" xfId="49" applyNumberFormat="1" applyFont="1" applyFill="1" applyBorder="1" applyAlignment="1">
      <alignment horizontal="left" vertical="center" wrapText="1"/>
    </xf>
    <xf numFmtId="0" fontId="45" fillId="0" borderId="152" xfId="0" applyFont="1" applyFill="1" applyBorder="1" applyAlignment="1">
      <alignment horizontal="center" vertical="center"/>
    </xf>
    <xf numFmtId="3" fontId="23" fillId="0" borderId="152" xfId="49" applyNumberFormat="1" applyFont="1" applyFill="1" applyBorder="1" applyAlignment="1">
      <alignment horizontal="left" vertical="center" wrapText="1"/>
    </xf>
    <xf numFmtId="0" fontId="45" fillId="42" borderId="153" xfId="0" applyFont="1" applyFill="1" applyBorder="1" applyAlignment="1">
      <alignment horizontal="center" vertical="center"/>
    </xf>
    <xf numFmtId="3" fontId="23" fillId="42" borderId="153" xfId="49" applyNumberFormat="1" applyFont="1" applyFill="1" applyBorder="1" applyAlignment="1">
      <alignment horizontal="left" vertical="center" wrapText="1"/>
    </xf>
    <xf numFmtId="4" fontId="0" fillId="0" borderId="0" xfId="0" applyNumberFormat="1"/>
    <xf numFmtId="4" fontId="0" fillId="0" borderId="11" xfId="0" applyNumberFormat="1" applyBorder="1"/>
    <xf numFmtId="4" fontId="0" fillId="0" borderId="0" xfId="0" applyNumberFormat="1" applyBorder="1"/>
    <xf numFmtId="3" fontId="21" fillId="0" borderId="61" xfId="49" applyNumberFormat="1" applyFont="1" applyFill="1" applyBorder="1" applyAlignment="1">
      <alignment horizontal="left" vertical="center" wrapText="1"/>
    </xf>
    <xf numFmtId="0" fontId="45" fillId="0" borderId="152" xfId="0" applyFont="1" applyFill="1" applyBorder="1" applyAlignment="1">
      <alignment vertical="center" wrapText="1"/>
    </xf>
    <xf numFmtId="0" fontId="45" fillId="0" borderId="153" xfId="0" applyFont="1" applyFill="1" applyBorder="1" applyAlignment="1">
      <alignment vertical="center" wrapText="1"/>
    </xf>
    <xf numFmtId="3" fontId="23" fillId="0" borderId="153" xfId="49" applyNumberFormat="1" applyFont="1" applyFill="1" applyBorder="1" applyAlignment="1">
      <alignment horizontal="left" vertical="center" wrapText="1"/>
    </xf>
    <xf numFmtId="3" fontId="45" fillId="42" borderId="154" xfId="47" applyNumberFormat="1" applyFont="1" applyFill="1" applyBorder="1" applyAlignment="1">
      <alignment horizontal="right" vertical="center"/>
    </xf>
    <xf numFmtId="3" fontId="45" fillId="0" borderId="154" xfId="47" applyNumberFormat="1" applyFont="1" applyFill="1" applyBorder="1" applyAlignment="1">
      <alignment horizontal="right" vertical="center"/>
    </xf>
    <xf numFmtId="3" fontId="45" fillId="42" borderId="70" xfId="47" applyNumberFormat="1" applyFont="1" applyFill="1" applyBorder="1" applyAlignment="1">
      <alignment horizontal="right" vertical="center"/>
    </xf>
    <xf numFmtId="3" fontId="23" fillId="0" borderId="51" xfId="49" applyNumberFormat="1" applyFont="1" applyFill="1" applyBorder="1" applyAlignment="1">
      <alignment horizontal="left" vertical="center" wrapText="1"/>
    </xf>
    <xf numFmtId="0" fontId="0" fillId="45" borderId="0" xfId="0" applyFill="1"/>
    <xf numFmtId="4" fontId="0" fillId="45" borderId="0" xfId="0" applyNumberFormat="1" applyFill="1"/>
    <xf numFmtId="0" fontId="21" fillId="0" borderId="152" xfId="0" applyFont="1" applyFill="1" applyBorder="1" applyAlignment="1">
      <alignment horizontal="center" vertical="center" wrapText="1"/>
    </xf>
    <xf numFmtId="0" fontId="21" fillId="0" borderId="152" xfId="0" applyFont="1" applyBorder="1" applyAlignment="1">
      <alignment horizontal="center" vertical="center" wrapText="1"/>
    </xf>
    <xf numFmtId="0" fontId="21" fillId="42" borderId="152" xfId="0" applyFont="1" applyFill="1" applyBorder="1" applyAlignment="1">
      <alignment horizontal="center" vertical="center" wrapText="1"/>
    </xf>
    <xf numFmtId="3" fontId="45" fillId="42" borderId="59" xfId="47" applyNumberFormat="1" applyFont="1" applyFill="1" applyBorder="1" applyAlignment="1">
      <alignment horizontal="right" vertical="center"/>
    </xf>
    <xf numFmtId="3" fontId="45" fillId="0" borderId="59" xfId="47" applyNumberFormat="1" applyFont="1" applyBorder="1" applyAlignment="1">
      <alignment horizontal="right" vertical="center"/>
    </xf>
    <xf numFmtId="3" fontId="45" fillId="0" borderId="59" xfId="47" applyNumberFormat="1" applyFont="1" applyFill="1" applyBorder="1" applyAlignment="1">
      <alignment horizontal="right" vertical="center"/>
    </xf>
    <xf numFmtId="3" fontId="45" fillId="0" borderId="140" xfId="47" applyNumberFormat="1" applyFont="1" applyFill="1" applyBorder="1" applyAlignment="1">
      <alignment horizontal="right" vertical="center"/>
    </xf>
    <xf numFmtId="3" fontId="45" fillId="0" borderId="140" xfId="47" applyNumberFormat="1" applyFont="1" applyBorder="1" applyAlignment="1">
      <alignment horizontal="right" vertical="center"/>
    </xf>
    <xf numFmtId="3" fontId="45" fillId="42" borderId="140" xfId="47" applyNumberFormat="1" applyFont="1" applyFill="1" applyBorder="1" applyAlignment="1">
      <alignment horizontal="right" vertical="center"/>
    </xf>
    <xf numFmtId="3" fontId="45" fillId="0" borderId="78" xfId="47" applyNumberFormat="1" applyFont="1" applyFill="1" applyBorder="1" applyAlignment="1">
      <alignment horizontal="right" vertical="center"/>
    </xf>
    <xf numFmtId="3" fontId="45" fillId="0" borderId="151" xfId="47" applyNumberFormat="1" applyFont="1" applyFill="1" applyBorder="1" applyAlignment="1">
      <alignment horizontal="right" vertical="center"/>
    </xf>
    <xf numFmtId="3" fontId="45" fillId="42" borderId="67" xfId="47" applyNumberFormat="1" applyFont="1" applyFill="1" applyBorder="1" applyAlignment="1">
      <alignment horizontal="right" vertical="center"/>
    </xf>
    <xf numFmtId="3" fontId="45" fillId="42" borderId="151" xfId="47" applyNumberFormat="1" applyFont="1" applyFill="1" applyBorder="1" applyAlignment="1">
      <alignment horizontal="right" vertical="center"/>
    </xf>
    <xf numFmtId="3" fontId="45" fillId="42" borderId="51" xfId="47" applyNumberFormat="1" applyFont="1" applyFill="1" applyBorder="1" applyAlignment="1">
      <alignment horizontal="right" vertical="center"/>
    </xf>
    <xf numFmtId="3" fontId="65" fillId="0" borderId="156" xfId="47" applyNumberFormat="1" applyFont="1" applyFill="1" applyBorder="1" applyAlignment="1">
      <alignment horizontal="right" vertical="center"/>
    </xf>
    <xf numFmtId="3" fontId="45" fillId="42" borderId="156" xfId="47" applyNumberFormat="1" applyFont="1" applyFill="1" applyBorder="1" applyAlignment="1">
      <alignment horizontal="right" vertical="center"/>
    </xf>
    <xf numFmtId="3" fontId="45" fillId="0" borderId="156" xfId="47" applyNumberFormat="1" applyFont="1" applyFill="1" applyBorder="1" applyAlignment="1">
      <alignment horizontal="right" vertical="center"/>
    </xf>
    <xf numFmtId="3" fontId="45" fillId="0" borderId="157" xfId="47" applyNumberFormat="1" applyFont="1" applyBorder="1" applyAlignment="1">
      <alignment horizontal="right" vertical="center"/>
    </xf>
    <xf numFmtId="3" fontId="45" fillId="0" borderId="157" xfId="47" applyNumberFormat="1" applyFont="1" applyFill="1" applyBorder="1" applyAlignment="1">
      <alignment horizontal="right" vertical="center"/>
    </xf>
    <xf numFmtId="3" fontId="45" fillId="0" borderId="158" xfId="47" applyNumberFormat="1" applyFont="1" applyBorder="1" applyAlignment="1">
      <alignment horizontal="right" vertical="center"/>
    </xf>
    <xf numFmtId="3" fontId="45" fillId="42" borderId="46" xfId="47" applyNumberFormat="1" applyFont="1" applyFill="1" applyBorder="1" applyAlignment="1">
      <alignment horizontal="right" vertical="center"/>
    </xf>
    <xf numFmtId="4" fontId="0" fillId="0" borderId="155" xfId="0" applyNumberFormat="1" applyBorder="1"/>
    <xf numFmtId="4" fontId="0" fillId="45" borderId="155" xfId="0" applyNumberFormat="1" applyFill="1" applyBorder="1"/>
    <xf numFmtId="4" fontId="0" fillId="45" borderId="21" xfId="0" applyNumberFormat="1" applyFill="1" applyBorder="1"/>
    <xf numFmtId="4" fontId="0" fillId="0" borderId="53" xfId="0" applyNumberFormat="1" applyBorder="1"/>
    <xf numFmtId="4" fontId="0" fillId="0" borderId="55" xfId="0" applyNumberFormat="1" applyBorder="1"/>
    <xf numFmtId="4" fontId="0" fillId="0" borderId="57" xfId="0" applyNumberFormat="1" applyBorder="1"/>
    <xf numFmtId="0" fontId="45" fillId="42" borderId="140" xfId="0" applyFont="1" applyFill="1" applyBorder="1" applyAlignment="1">
      <alignment horizontal="center" vertical="center"/>
    </xf>
    <xf numFmtId="3" fontId="39" fillId="42" borderId="152" xfId="0" applyNumberFormat="1" applyFont="1" applyFill="1" applyBorder="1" applyAlignment="1">
      <alignment horizontal="left" vertical="center" wrapText="1"/>
    </xf>
    <xf numFmtId="4" fontId="0" fillId="0" borderId="159" xfId="0" applyNumberFormat="1" applyBorder="1"/>
    <xf numFmtId="3" fontId="39" fillId="0" borderId="152" xfId="0" applyNumberFormat="1" applyFont="1" applyFill="1" applyBorder="1" applyAlignment="1">
      <alignment horizontal="left" vertical="center" wrapText="1"/>
    </xf>
    <xf numFmtId="49" fontId="45" fillId="0" borderId="43" xfId="0" applyNumberFormat="1" applyFont="1" applyFill="1" applyBorder="1" applyAlignment="1">
      <alignment horizontal="center" vertical="center"/>
    </xf>
    <xf numFmtId="0" fontId="45" fillId="42" borderId="152" xfId="0" applyFont="1" applyFill="1" applyBorder="1" applyAlignment="1">
      <alignment vertical="center" wrapText="1"/>
    </xf>
    <xf numFmtId="0" fontId="45" fillId="42" borderId="151" xfId="0" applyFont="1" applyFill="1" applyBorder="1" applyAlignment="1">
      <alignment horizontal="center" vertical="center"/>
    </xf>
    <xf numFmtId="3" fontId="39" fillId="42" borderId="153" xfId="0" applyNumberFormat="1" applyFont="1" applyFill="1" applyBorder="1" applyAlignment="1">
      <alignment horizontal="left" vertical="center" wrapText="1"/>
    </xf>
    <xf numFmtId="0" fontId="45" fillId="0" borderId="151" xfId="0" applyFont="1" applyFill="1" applyBorder="1" applyAlignment="1">
      <alignment horizontal="center" vertical="center"/>
    </xf>
    <xf numFmtId="0" fontId="65" fillId="0" borderId="43" xfId="0" applyFont="1" applyBorder="1" applyAlignment="1">
      <alignment horizontal="center" vertical="center"/>
    </xf>
    <xf numFmtId="0" fontId="45" fillId="0" borderId="151" xfId="0" applyFont="1" applyFill="1" applyBorder="1" applyAlignment="1">
      <alignment vertical="center" wrapText="1"/>
    </xf>
    <xf numFmtId="0" fontId="45" fillId="42" borderId="151" xfId="0" applyFont="1" applyFill="1" applyBorder="1" applyAlignment="1">
      <alignment vertical="center" wrapText="1"/>
    </xf>
    <xf numFmtId="0" fontId="45" fillId="42" borderId="153" xfId="0" applyFont="1" applyFill="1" applyBorder="1" applyAlignment="1">
      <alignment vertical="center" wrapText="1"/>
    </xf>
    <xf numFmtId="4" fontId="0" fillId="0" borderId="160" xfId="0" applyNumberFormat="1" applyBorder="1"/>
    <xf numFmtId="4" fontId="0" fillId="0" borderId="161" xfId="0" applyNumberFormat="1" applyBorder="1"/>
    <xf numFmtId="4" fontId="0" fillId="0" borderId="162" xfId="0" applyNumberFormat="1" applyBorder="1"/>
    <xf numFmtId="4" fontId="0" fillId="0" borderId="60" xfId="0" applyNumberFormat="1" applyBorder="1"/>
    <xf numFmtId="4" fontId="0" fillId="0" borderId="163" xfId="0" applyNumberFormat="1" applyBorder="1"/>
    <xf numFmtId="4" fontId="0" fillId="45" borderId="53" xfId="0" applyNumberFormat="1" applyFill="1" applyBorder="1"/>
    <xf numFmtId="0" fontId="45" fillId="0" borderId="61" xfId="0" applyFont="1" applyBorder="1" applyAlignment="1">
      <alignment horizontal="left" vertical="center"/>
    </xf>
    <xf numFmtId="0" fontId="45" fillId="0" borderId="140" xfId="0" applyFont="1" applyBorder="1" applyAlignment="1">
      <alignment horizontal="center" vertical="center"/>
    </xf>
    <xf numFmtId="0" fontId="45" fillId="0" borderId="140" xfId="0" applyFont="1" applyBorder="1" applyAlignment="1">
      <alignment horizontal="left" vertical="center"/>
    </xf>
    <xf numFmtId="3" fontId="39" fillId="0" borderId="152" xfId="0" applyNumberFormat="1" applyFont="1" applyBorder="1" applyAlignment="1">
      <alignment horizontal="left" vertical="center" wrapText="1"/>
    </xf>
    <xf numFmtId="0" fontId="45" fillId="0" borderId="152" xfId="0" applyFont="1" applyBorder="1" applyAlignment="1">
      <alignment horizontal="left" vertical="center"/>
    </xf>
    <xf numFmtId="0" fontId="45" fillId="0" borderId="140" xfId="0" applyFont="1" applyFill="1" applyBorder="1" applyAlignment="1">
      <alignment horizontal="left" vertical="center"/>
    </xf>
    <xf numFmtId="0" fontId="45" fillId="0" borderId="152" xfId="0" applyFont="1" applyFill="1" applyBorder="1" applyAlignment="1">
      <alignment horizontal="left" vertical="center" wrapText="1"/>
    </xf>
    <xf numFmtId="0" fontId="45" fillId="0" borderId="152" xfId="0" applyFont="1" applyFill="1" applyBorder="1" applyAlignment="1">
      <alignment horizontal="left" vertical="center"/>
    </xf>
    <xf numFmtId="0" fontId="45" fillId="42" borderId="51" xfId="0" applyFont="1" applyFill="1" applyBorder="1" applyAlignment="1">
      <alignment horizontal="left" vertical="center"/>
    </xf>
    <xf numFmtId="3" fontId="65" fillId="42" borderId="43" xfId="47" applyNumberFormat="1" applyFont="1" applyFill="1" applyBorder="1" applyAlignment="1">
      <alignment horizontal="right" vertical="center"/>
    </xf>
    <xf numFmtId="4" fontId="45" fillId="0" borderId="67" xfId="47" applyNumberFormat="1" applyFont="1" applyBorder="1" applyAlignment="1">
      <alignment horizontal="right" vertical="center"/>
    </xf>
    <xf numFmtId="4" fontId="45" fillId="0" borderId="140" xfId="47" applyNumberFormat="1" applyFont="1" applyBorder="1" applyAlignment="1">
      <alignment horizontal="right" vertical="center"/>
    </xf>
    <xf numFmtId="4" fontId="45" fillId="0" borderId="140" xfId="47" applyNumberFormat="1" applyFont="1" applyFill="1" applyBorder="1" applyAlignment="1">
      <alignment horizontal="right" vertical="center"/>
    </xf>
    <xf numFmtId="4" fontId="45" fillId="42" borderId="43" xfId="47" applyNumberFormat="1" applyFont="1" applyFill="1" applyBorder="1" applyAlignment="1">
      <alignment horizontal="right" vertical="center"/>
    </xf>
    <xf numFmtId="4" fontId="45" fillId="42" borderId="51" xfId="47" applyNumberFormat="1" applyFont="1" applyFill="1" applyBorder="1" applyAlignment="1">
      <alignment horizontal="right" vertical="center"/>
    </xf>
    <xf numFmtId="3" fontId="45" fillId="42" borderId="20" xfId="47" applyNumberFormat="1" applyFont="1" applyFill="1" applyBorder="1" applyAlignment="1">
      <alignment horizontal="right" vertical="center"/>
    </xf>
    <xf numFmtId="4" fontId="0" fillId="45" borderId="60" xfId="0" applyNumberFormat="1" applyFill="1" applyBorder="1"/>
    <xf numFmtId="4" fontId="0" fillId="45" borderId="164" xfId="0" applyNumberFormat="1" applyFill="1" applyBorder="1"/>
    <xf numFmtId="4" fontId="0" fillId="45" borderId="22" xfId="0" applyNumberFormat="1" applyFill="1" applyBorder="1"/>
    <xf numFmtId="4" fontId="0" fillId="0" borderId="61" xfId="0" applyNumberFormat="1" applyBorder="1"/>
    <xf numFmtId="4" fontId="0" fillId="0" borderId="152" xfId="0" applyNumberFormat="1" applyBorder="1"/>
    <xf numFmtId="4" fontId="0" fillId="45" borderId="152" xfId="0" applyNumberFormat="1" applyFill="1" applyBorder="1"/>
    <xf numFmtId="4" fontId="0" fillId="45" borderId="73" xfId="0" applyNumberFormat="1" applyFill="1" applyBorder="1"/>
    <xf numFmtId="4" fontId="0" fillId="0" borderId="153" xfId="0" applyNumberFormat="1" applyBorder="1"/>
    <xf numFmtId="4" fontId="0" fillId="45" borderId="77" xfId="0" applyNumberFormat="1" applyFill="1" applyBorder="1"/>
    <xf numFmtId="0" fontId="21" fillId="0" borderId="151" xfId="0" applyFont="1" applyFill="1" applyBorder="1" applyAlignment="1">
      <alignment horizontal="center" vertical="center" wrapText="1"/>
    </xf>
    <xf numFmtId="3" fontId="39" fillId="0" borderId="153" xfId="0" applyNumberFormat="1" applyFont="1" applyFill="1" applyBorder="1" applyAlignment="1">
      <alignment horizontal="left" vertical="center" wrapText="1"/>
    </xf>
    <xf numFmtId="0" fontId="45" fillId="42" borderId="152" xfId="0" applyFont="1" applyFill="1" applyBorder="1" applyAlignment="1">
      <alignment horizontal="center" vertical="center"/>
    </xf>
    <xf numFmtId="3" fontId="45" fillId="42" borderId="152" xfId="47" applyNumberFormat="1" applyFont="1" applyFill="1" applyBorder="1" applyAlignment="1">
      <alignment horizontal="right" vertical="top"/>
    </xf>
    <xf numFmtId="0" fontId="0" fillId="50" borderId="0" xfId="0" applyFill="1"/>
    <xf numFmtId="0" fontId="21" fillId="42" borderId="78" xfId="0" applyFont="1" applyFill="1" applyBorder="1" applyAlignment="1">
      <alignment horizontal="center" vertical="center" wrapText="1"/>
    </xf>
    <xf numFmtId="3" fontId="39" fillId="42" borderId="73" xfId="0" applyNumberFormat="1" applyFont="1" applyFill="1" applyBorder="1" applyAlignment="1">
      <alignment horizontal="left" vertical="center" wrapText="1"/>
    </xf>
    <xf numFmtId="3" fontId="45" fillId="42" borderId="78" xfId="47" applyNumberFormat="1" applyFont="1" applyFill="1" applyBorder="1" applyAlignment="1">
      <alignment horizontal="right" vertical="center"/>
    </xf>
    <xf numFmtId="4" fontId="0" fillId="0" borderId="73" xfId="0" applyNumberFormat="1" applyBorder="1"/>
    <xf numFmtId="4" fontId="0" fillId="0" borderId="164" xfId="0" applyNumberFormat="1" applyBorder="1"/>
    <xf numFmtId="4" fontId="0" fillId="0" borderId="21" xfId="0" applyNumberFormat="1" applyBorder="1"/>
    <xf numFmtId="4" fontId="0" fillId="0" borderId="77" xfId="0" applyNumberFormat="1" applyBorder="1"/>
    <xf numFmtId="4" fontId="0" fillId="0" borderId="22" xfId="0" applyNumberFormat="1" applyBorder="1"/>
    <xf numFmtId="0" fontId="0" fillId="33" borderId="51" xfId="0" applyFill="1" applyBorder="1"/>
    <xf numFmtId="0" fontId="0" fillId="33" borderId="20" xfId="0" applyFill="1" applyBorder="1"/>
    <xf numFmtId="4" fontId="0" fillId="33" borderId="40" xfId="0" applyNumberFormat="1" applyFill="1" applyBorder="1"/>
    <xf numFmtId="4" fontId="0" fillId="33" borderId="165" xfId="0" applyNumberFormat="1" applyFill="1" applyBorder="1"/>
    <xf numFmtId="4" fontId="0" fillId="33" borderId="166" xfId="0" applyNumberFormat="1" applyFill="1" applyBorder="1"/>
    <xf numFmtId="4" fontId="0" fillId="33" borderId="167" xfId="0" applyNumberFormat="1" applyFill="1" applyBorder="1"/>
    <xf numFmtId="3" fontId="79" fillId="33" borderId="40" xfId="0" applyNumberFormat="1" applyFont="1" applyFill="1" applyBorder="1"/>
    <xf numFmtId="3" fontId="39" fillId="0" borderId="52" xfId="0" applyNumberFormat="1" applyFont="1" applyFill="1" applyBorder="1" applyAlignment="1">
      <alignment horizontal="left" vertical="center" wrapText="1"/>
    </xf>
    <xf numFmtId="3" fontId="79" fillId="33" borderId="20" xfId="0" applyNumberFormat="1" applyFont="1" applyFill="1" applyBorder="1"/>
    <xf numFmtId="3" fontId="0" fillId="50" borderId="0" xfId="0" applyNumberFormat="1" applyFill="1"/>
    <xf numFmtId="4" fontId="0" fillId="0" borderId="52" xfId="0" applyNumberFormat="1" applyBorder="1"/>
    <xf numFmtId="4" fontId="0" fillId="0" borderId="168" xfId="0" applyNumberFormat="1" applyBorder="1"/>
    <xf numFmtId="4" fontId="0" fillId="0" borderId="35" xfId="0" applyNumberFormat="1" applyBorder="1"/>
    <xf numFmtId="0" fontId="0" fillId="51" borderId="51" xfId="0" applyFill="1" applyBorder="1"/>
    <xf numFmtId="0" fontId="0" fillId="51" borderId="20" xfId="0" applyFill="1" applyBorder="1"/>
    <xf numFmtId="3" fontId="0" fillId="51" borderId="40" xfId="0" applyNumberFormat="1" applyFill="1" applyBorder="1"/>
    <xf numFmtId="0" fontId="0" fillId="0" borderId="41" xfId="0" applyBorder="1"/>
    <xf numFmtId="0" fontId="0" fillId="0" borderId="33" xfId="0" applyBorder="1"/>
    <xf numFmtId="0" fontId="0" fillId="0" borderId="46" xfId="0" applyBorder="1"/>
    <xf numFmtId="0" fontId="0" fillId="0" borderId="47" xfId="0" applyBorder="1"/>
    <xf numFmtId="0" fontId="0" fillId="0" borderId="40" xfId="0" applyBorder="1"/>
    <xf numFmtId="4" fontId="0" fillId="0" borderId="40" xfId="0" applyNumberFormat="1" applyBorder="1"/>
    <xf numFmtId="0" fontId="55" fillId="46" borderId="59" xfId="0" applyFont="1" applyFill="1" applyBorder="1" applyAlignment="1">
      <alignment horizontal="center"/>
    </xf>
    <xf numFmtId="0" fontId="55" fillId="46" borderId="60" xfId="0" applyFont="1" applyFill="1" applyBorder="1" applyAlignment="1">
      <alignment horizontal="center"/>
    </xf>
    <xf numFmtId="0" fontId="45" fillId="45" borderId="0" xfId="0" applyFont="1" applyFill="1"/>
    <xf numFmtId="165" fontId="46" fillId="46" borderId="11" xfId="0" applyNumberFormat="1" applyFont="1" applyFill="1" applyBorder="1" applyAlignment="1">
      <alignment horizontal="right" wrapText="1"/>
    </xf>
    <xf numFmtId="165" fontId="46" fillId="47" borderId="11" xfId="0" applyNumberFormat="1" applyFont="1" applyFill="1" applyBorder="1" applyAlignment="1">
      <alignment horizontal="right" wrapText="1"/>
    </xf>
    <xf numFmtId="165" fontId="45" fillId="0" borderId="11" xfId="0" applyNumberFormat="1" applyFont="1" applyBorder="1" applyAlignment="1">
      <alignment horizontal="right" wrapText="1"/>
    </xf>
    <xf numFmtId="4" fontId="46" fillId="47" borderId="11" xfId="0" applyNumberFormat="1" applyFont="1" applyFill="1" applyBorder="1" applyAlignment="1">
      <alignment horizontal="right"/>
    </xf>
    <xf numFmtId="0" fontId="45" fillId="0" borderId="11" xfId="0" applyFont="1" applyBorder="1" applyAlignment="1">
      <alignment horizontal="right"/>
    </xf>
    <xf numFmtId="4" fontId="45" fillId="0" borderId="11" xfId="0" applyNumberFormat="1" applyFont="1" applyBorder="1" applyAlignment="1">
      <alignment horizontal="right"/>
    </xf>
    <xf numFmtId="165" fontId="46" fillId="47" borderId="11" xfId="0" applyNumberFormat="1" applyFont="1" applyFill="1" applyBorder="1" applyAlignment="1">
      <alignment horizontal="right"/>
    </xf>
    <xf numFmtId="165" fontId="45" fillId="0" borderId="11" xfId="0" applyNumberFormat="1" applyFont="1" applyBorder="1" applyAlignment="1">
      <alignment horizontal="right"/>
    </xf>
    <xf numFmtId="165" fontId="60" fillId="47" borderId="11" xfId="0" applyNumberFormat="1" applyFont="1" applyFill="1" applyBorder="1" applyAlignment="1">
      <alignment horizontal="center"/>
    </xf>
    <xf numFmtId="4" fontId="45" fillId="0" borderId="0" xfId="0" applyNumberFormat="1" applyFont="1" applyFill="1"/>
    <xf numFmtId="0" fontId="45" fillId="0" borderId="43" xfId="0" applyFont="1" applyBorder="1" applyAlignment="1">
      <alignment horizontal="center" vertical="center"/>
    </xf>
    <xf numFmtId="0" fontId="56" fillId="48" borderId="18" xfId="0" applyFont="1" applyFill="1" applyBorder="1" applyAlignment="1">
      <alignment vertical="center" wrapText="1"/>
    </xf>
    <xf numFmtId="49" fontId="56" fillId="48" borderId="18" xfId="0" applyNumberFormat="1" applyFont="1" applyFill="1" applyBorder="1" applyAlignment="1">
      <alignment vertical="center" wrapText="1"/>
    </xf>
    <xf numFmtId="4" fontId="80" fillId="0" borderId="0" xfId="0" applyNumberFormat="1" applyFont="1" applyFill="1" applyBorder="1"/>
    <xf numFmtId="0" fontId="45" fillId="0" borderId="43" xfId="0" applyFont="1" applyBorder="1" applyAlignment="1">
      <alignment horizontal="center" vertical="center"/>
    </xf>
    <xf numFmtId="3" fontId="46" fillId="0" borderId="40" xfId="47" applyNumberFormat="1" applyFont="1" applyFill="1" applyBorder="1" applyAlignment="1">
      <alignment vertical="center"/>
    </xf>
    <xf numFmtId="3" fontId="62" fillId="0" borderId="40" xfId="47" applyNumberFormat="1" applyFont="1" applyFill="1" applyBorder="1" applyAlignment="1">
      <alignment horizontal="right" vertical="center"/>
    </xf>
    <xf numFmtId="3" fontId="62" fillId="0" borderId="0" xfId="47" applyNumberFormat="1" applyFont="1" applyFill="1" applyBorder="1" applyAlignment="1">
      <alignment horizontal="right" vertical="center"/>
    </xf>
    <xf numFmtId="3" fontId="46" fillId="0" borderId="45" xfId="47" applyNumberFormat="1" applyFont="1" applyFill="1" applyBorder="1" applyAlignment="1">
      <alignment vertical="center"/>
    </xf>
    <xf numFmtId="3" fontId="46" fillId="0" borderId="50" xfId="47" applyNumberFormat="1" applyFont="1" applyFill="1" applyBorder="1" applyAlignment="1">
      <alignment vertical="center"/>
    </xf>
    <xf numFmtId="0" fontId="45" fillId="0" borderId="43" xfId="0" applyFont="1" applyBorder="1" applyAlignment="1">
      <alignment horizontal="center" vertical="center"/>
    </xf>
    <xf numFmtId="4" fontId="69" fillId="0" borderId="0" xfId="0" applyNumberFormat="1" applyFont="1" applyFill="1" applyBorder="1"/>
    <xf numFmtId="0" fontId="45" fillId="0" borderId="43" xfId="0" applyFont="1" applyBorder="1" applyAlignment="1">
      <alignment horizontal="center" vertical="center"/>
    </xf>
    <xf numFmtId="4" fontId="46" fillId="0" borderId="52" xfId="47" applyNumberFormat="1" applyFont="1" applyBorder="1" applyAlignment="1">
      <alignment horizontal="right" vertical="center"/>
    </xf>
    <xf numFmtId="4" fontId="46" fillId="0" borderId="52" xfId="47" applyNumberFormat="1" applyFont="1" applyBorder="1" applyAlignment="1">
      <alignment vertical="center"/>
    </xf>
    <xf numFmtId="4" fontId="46" fillId="40" borderId="52" xfId="47" applyNumberFormat="1" applyFont="1" applyFill="1" applyBorder="1" applyAlignment="1">
      <alignment horizontal="right" vertical="center"/>
    </xf>
    <xf numFmtId="0" fontId="55" fillId="0" borderId="155" xfId="0" applyFont="1" applyBorder="1" applyAlignment="1">
      <alignment horizontal="center" vertical="center"/>
    </xf>
    <xf numFmtId="0" fontId="1" fillId="0" borderId="155" xfId="0" applyFont="1" applyBorder="1" applyAlignment="1">
      <alignment horizontal="center" vertical="center"/>
    </xf>
    <xf numFmtId="4" fontId="23" fillId="0" borderId="155" xfId="0" applyNumberFormat="1" applyFont="1" applyBorder="1"/>
    <xf numFmtId="165" fontId="23" fillId="0" borderId="155" xfId="0" applyNumberFormat="1" applyFont="1" applyBorder="1" applyAlignment="1">
      <alignment horizontal="right" wrapText="1"/>
    </xf>
    <xf numFmtId="165" fontId="45" fillId="0" borderId="155" xfId="0" applyNumberFormat="1" applyFont="1" applyBorder="1" applyAlignment="1">
      <alignment horizontal="center"/>
    </xf>
    <xf numFmtId="0" fontId="45" fillId="0" borderId="43" xfId="0" applyFont="1" applyBorder="1" applyAlignment="1">
      <alignment horizontal="left" vertical="center"/>
    </xf>
    <xf numFmtId="4" fontId="0" fillId="0" borderId="179" xfId="0" applyNumberFormat="1" applyBorder="1"/>
    <xf numFmtId="3" fontId="45" fillId="42" borderId="76" xfId="47" applyNumberFormat="1" applyFont="1" applyFill="1" applyBorder="1" applyAlignment="1">
      <alignment horizontal="right" vertical="center"/>
    </xf>
    <xf numFmtId="4" fontId="0" fillId="0" borderId="183" xfId="0" applyNumberFormat="1" applyBorder="1"/>
    <xf numFmtId="3" fontId="0" fillId="48" borderId="0" xfId="0" applyNumberFormat="1" applyFill="1"/>
    <xf numFmtId="3" fontId="0" fillId="0" borderId="0" xfId="0" applyNumberFormat="1"/>
    <xf numFmtId="3" fontId="1" fillId="31" borderId="10" xfId="1" applyNumberFormat="1" applyFont="1" applyFill="1" applyBorder="1" applyAlignment="1">
      <alignment horizontal="left" vertical="center" wrapText="1"/>
    </xf>
    <xf numFmtId="3" fontId="2" fillId="0" borderId="10" xfId="1" applyNumberFormat="1" applyFont="1" applyFill="1" applyBorder="1" applyAlignment="1">
      <alignment vertical="center" wrapText="1"/>
    </xf>
    <xf numFmtId="3" fontId="1" fillId="0" borderId="10" xfId="1" applyNumberFormat="1" applyFont="1" applyFill="1" applyBorder="1" applyAlignment="1">
      <alignment vertical="center" wrapText="1"/>
    </xf>
    <xf numFmtId="0" fontId="1" fillId="31" borderId="10" xfId="1" applyFont="1" applyFill="1" applyBorder="1" applyAlignment="1">
      <alignment horizontal="left" vertical="center" wrapText="1"/>
    </xf>
    <xf numFmtId="168" fontId="41" fillId="6" borderId="26" xfId="0" applyNumberFormat="1" applyFont="1" applyFill="1" applyBorder="1" applyAlignment="1">
      <alignment horizontal="center" vertical="center" wrapText="1" shrinkToFit="1"/>
    </xf>
    <xf numFmtId="168" fontId="41" fillId="6" borderId="12" xfId="0" applyNumberFormat="1" applyFont="1" applyFill="1" applyBorder="1" applyAlignment="1">
      <alignment horizontal="center" vertical="center" wrapText="1" shrinkToFit="1"/>
    </xf>
    <xf numFmtId="168" fontId="41" fillId="6" borderId="22" xfId="0" applyNumberFormat="1" applyFont="1" applyFill="1" applyBorder="1" applyAlignment="1">
      <alignment horizontal="center" vertical="center" wrapText="1" shrinkToFit="1"/>
    </xf>
    <xf numFmtId="168" fontId="41" fillId="6" borderId="21" xfId="0" applyNumberFormat="1" applyFont="1" applyFill="1" applyBorder="1" applyAlignment="1">
      <alignment horizontal="center" vertical="center" wrapText="1" shrinkToFit="1"/>
    </xf>
    <xf numFmtId="168" fontId="41" fillId="6" borderId="19" xfId="0" applyNumberFormat="1" applyFont="1" applyFill="1" applyBorder="1" applyAlignment="1">
      <alignment horizontal="center" vertical="center" wrapText="1" shrinkToFit="1"/>
    </xf>
    <xf numFmtId="49" fontId="41" fillId="6" borderId="17" xfId="0" applyNumberFormat="1" applyFont="1" applyFill="1" applyBorder="1" applyAlignment="1">
      <alignment horizontal="center" vertical="center" wrapText="1"/>
    </xf>
    <xf numFmtId="49" fontId="41" fillId="6" borderId="18" xfId="0" applyNumberFormat="1" applyFont="1" applyFill="1" applyBorder="1" applyAlignment="1">
      <alignment horizontal="center" vertical="center" wrapText="1"/>
    </xf>
    <xf numFmtId="0" fontId="68" fillId="0" borderId="21" xfId="0" applyFont="1" applyBorder="1" applyAlignment="1">
      <alignment horizontal="center" vertical="center" wrapText="1"/>
    </xf>
    <xf numFmtId="0" fontId="68" fillId="0" borderId="53" xfId="0" applyFont="1" applyBorder="1" applyAlignment="1">
      <alignment horizontal="center" vertical="center" wrapText="1"/>
    </xf>
    <xf numFmtId="49" fontId="41" fillId="0" borderId="0" xfId="0" applyNumberFormat="1" applyFont="1" applyBorder="1" applyAlignment="1">
      <alignment horizontal="center" vertical="center" wrapText="1"/>
    </xf>
    <xf numFmtId="0" fontId="1" fillId="0" borderId="21" xfId="0" applyFont="1" applyBorder="1" applyAlignment="1">
      <alignment horizontal="center" vertical="center" wrapText="1"/>
    </xf>
    <xf numFmtId="0" fontId="1" fillId="0" borderId="53" xfId="0" applyFont="1" applyBorder="1" applyAlignment="1">
      <alignment horizontal="center" vertical="center" wrapText="1"/>
    </xf>
    <xf numFmtId="49" fontId="54" fillId="0" borderId="11" xfId="0" applyNumberFormat="1" applyFont="1" applyBorder="1" applyAlignment="1">
      <alignment horizontal="center"/>
    </xf>
    <xf numFmtId="0" fontId="55" fillId="46" borderId="59" xfId="0" applyFont="1" applyFill="1" applyBorder="1" applyAlignment="1">
      <alignment horizontal="center"/>
    </xf>
    <xf numFmtId="0" fontId="55" fillId="46" borderId="60" xfId="0" applyFont="1" applyFill="1" applyBorder="1" applyAlignment="1">
      <alignment horizontal="center"/>
    </xf>
    <xf numFmtId="165" fontId="54" fillId="0" borderId="59" xfId="0" applyNumberFormat="1" applyFont="1" applyBorder="1" applyAlignment="1">
      <alignment horizontal="center" wrapText="1"/>
    </xf>
    <xf numFmtId="165" fontId="54" fillId="0" borderId="65" xfId="0" applyNumberFormat="1" applyFont="1" applyBorder="1" applyAlignment="1">
      <alignment horizontal="center" wrapText="1"/>
    </xf>
    <xf numFmtId="165" fontId="54" fillId="0" borderId="60" xfId="0" applyNumberFormat="1" applyFont="1" applyBorder="1" applyAlignment="1">
      <alignment horizontal="center" wrapText="1"/>
    </xf>
    <xf numFmtId="49" fontId="44" fillId="0" borderId="0" xfId="0" applyNumberFormat="1" applyFont="1" applyBorder="1" applyAlignment="1">
      <alignment horizontal="center" vertical="center" wrapText="1"/>
    </xf>
    <xf numFmtId="0" fontId="41" fillId="6" borderId="11" xfId="1" applyFont="1" applyFill="1" applyBorder="1" applyAlignment="1">
      <alignment horizontal="center" vertical="center" wrapText="1"/>
    </xf>
    <xf numFmtId="4" fontId="41" fillId="6" borderId="11" xfId="47" applyNumberFormat="1" applyFont="1" applyFill="1" applyBorder="1" applyAlignment="1">
      <alignment horizontal="center" vertical="center" wrapText="1"/>
    </xf>
    <xf numFmtId="49" fontId="43" fillId="0" borderId="12" xfId="1" applyNumberFormat="1" applyFont="1" applyBorder="1" applyAlignment="1">
      <alignment horizontal="center" vertical="center" wrapText="1"/>
    </xf>
    <xf numFmtId="0" fontId="41" fillId="6" borderId="13" xfId="1" applyFont="1" applyFill="1" applyBorder="1" applyAlignment="1">
      <alignment horizontal="center" vertical="center" wrapText="1"/>
    </xf>
    <xf numFmtId="0" fontId="41" fillId="6" borderId="14" xfId="1" applyFont="1" applyFill="1" applyBorder="1" applyAlignment="1">
      <alignment horizontal="center" vertical="center" wrapText="1"/>
    </xf>
    <xf numFmtId="4" fontId="44" fillId="6" borderId="11" xfId="47" applyNumberFormat="1" applyFont="1" applyFill="1" applyBorder="1" applyAlignment="1">
      <alignment horizontal="center" vertical="center" wrapText="1"/>
    </xf>
    <xf numFmtId="49" fontId="43" fillId="0" borderId="0" xfId="0" applyNumberFormat="1" applyFont="1" applyBorder="1" applyAlignment="1">
      <alignment horizontal="center" vertical="center" wrapText="1"/>
    </xf>
    <xf numFmtId="0" fontId="46" fillId="0" borderId="51" xfId="0" applyFont="1" applyFill="1" applyBorder="1" applyAlignment="1">
      <alignment horizontal="center" vertical="center"/>
    </xf>
    <xf numFmtId="0" fontId="46" fillId="0" borderId="20" xfId="0" applyFont="1" applyFill="1" applyBorder="1" applyAlignment="1">
      <alignment horizontal="center" vertical="center"/>
    </xf>
    <xf numFmtId="3" fontId="45" fillId="0" borderId="49" xfId="47" applyNumberFormat="1" applyFont="1" applyBorder="1" applyAlignment="1">
      <alignment horizontal="center" vertical="center"/>
    </xf>
    <xf numFmtId="3" fontId="45" fillId="0" borderId="52" xfId="47" applyNumberFormat="1" applyFont="1" applyBorder="1" applyAlignment="1">
      <alignment horizontal="center" vertical="center"/>
    </xf>
    <xf numFmtId="3" fontId="45" fillId="0" borderId="50" xfId="47" applyNumberFormat="1" applyFont="1" applyBorder="1" applyAlignment="1">
      <alignment horizontal="center" vertical="center"/>
    </xf>
    <xf numFmtId="3" fontId="45" fillId="0" borderId="49" xfId="47" applyNumberFormat="1" applyFont="1" applyFill="1" applyBorder="1" applyAlignment="1">
      <alignment horizontal="center" vertical="center" wrapText="1"/>
    </xf>
    <xf numFmtId="3" fontId="45" fillId="0" borderId="52" xfId="47" applyNumberFormat="1" applyFont="1" applyFill="1" applyBorder="1" applyAlignment="1">
      <alignment horizontal="center" vertical="center" wrapText="1"/>
    </xf>
    <xf numFmtId="3" fontId="45" fillId="0" borderId="50" xfId="47" applyNumberFormat="1" applyFont="1" applyFill="1" applyBorder="1" applyAlignment="1">
      <alignment horizontal="center" vertical="center" wrapText="1"/>
    </xf>
    <xf numFmtId="3" fontId="45" fillId="0" borderId="49" xfId="47" applyNumberFormat="1" applyFont="1" applyFill="1" applyBorder="1" applyAlignment="1">
      <alignment horizontal="center" vertical="center"/>
    </xf>
    <xf numFmtId="3" fontId="45" fillId="0" borderId="52" xfId="47" applyNumberFormat="1" applyFont="1" applyFill="1" applyBorder="1" applyAlignment="1">
      <alignment horizontal="center" vertical="center"/>
    </xf>
    <xf numFmtId="3" fontId="45" fillId="0" borderId="50" xfId="47" applyNumberFormat="1" applyFont="1" applyFill="1" applyBorder="1" applyAlignment="1">
      <alignment horizontal="center" vertical="center"/>
    </xf>
    <xf numFmtId="0" fontId="46" fillId="42" borderId="51" xfId="0" applyFont="1" applyFill="1" applyBorder="1" applyAlignment="1">
      <alignment horizontal="left" vertical="center" wrapText="1"/>
    </xf>
    <xf numFmtId="0" fontId="46" fillId="42" borderId="45" xfId="0" applyFont="1" applyFill="1" applyBorder="1" applyAlignment="1">
      <alignment horizontal="left" vertical="center" wrapText="1"/>
    </xf>
    <xf numFmtId="0" fontId="46" fillId="35" borderId="51" xfId="0" applyFont="1" applyFill="1" applyBorder="1" applyAlignment="1">
      <alignment horizontal="left" vertical="center" wrapText="1"/>
    </xf>
    <xf numFmtId="0" fontId="46" fillId="35" borderId="45" xfId="0" applyFont="1" applyFill="1" applyBorder="1" applyAlignment="1">
      <alignment horizontal="left" vertical="center" wrapText="1"/>
    </xf>
    <xf numFmtId="0" fontId="46" fillId="40" borderId="51" xfId="0" applyFont="1" applyFill="1" applyBorder="1" applyAlignment="1">
      <alignment horizontal="left" vertical="center" wrapText="1"/>
    </xf>
    <xf numFmtId="0" fontId="46" fillId="40" borderId="45" xfId="0" applyFont="1" applyFill="1" applyBorder="1" applyAlignment="1">
      <alignment horizontal="left" vertical="center" wrapText="1"/>
    </xf>
    <xf numFmtId="0" fontId="46" fillId="40" borderId="51" xfId="0" applyFont="1" applyFill="1" applyBorder="1" applyAlignment="1">
      <alignment horizontal="left" vertical="center"/>
    </xf>
    <xf numFmtId="0" fontId="46" fillId="40" borderId="20" xfId="0" applyFont="1" applyFill="1" applyBorder="1" applyAlignment="1">
      <alignment horizontal="left" vertical="center"/>
    </xf>
    <xf numFmtId="0" fontId="46" fillId="40" borderId="46" xfId="0" applyFont="1" applyFill="1" applyBorder="1" applyAlignment="1">
      <alignment horizontal="left" vertical="center" wrapText="1"/>
    </xf>
    <xf numFmtId="0" fontId="46" fillId="40" borderId="48" xfId="0" applyFont="1" applyFill="1" applyBorder="1" applyAlignment="1">
      <alignment horizontal="left" vertical="center" wrapText="1"/>
    </xf>
    <xf numFmtId="0" fontId="46" fillId="36" borderId="51" xfId="0" applyFont="1" applyFill="1" applyBorder="1" applyAlignment="1">
      <alignment horizontal="left" vertical="center" wrapText="1"/>
    </xf>
    <xf numFmtId="0" fontId="46" fillId="36" borderId="45" xfId="0" applyFont="1" applyFill="1" applyBorder="1" applyAlignment="1">
      <alignment horizontal="left" vertical="center" wrapText="1"/>
    </xf>
    <xf numFmtId="0" fontId="46" fillId="38" borderId="51" xfId="0" applyFont="1" applyFill="1" applyBorder="1" applyAlignment="1">
      <alignment horizontal="left" vertical="center" wrapText="1"/>
    </xf>
    <xf numFmtId="0" fontId="46" fillId="38" borderId="45" xfId="0" applyFont="1" applyFill="1" applyBorder="1" applyAlignment="1">
      <alignment horizontal="left" vertical="center" wrapText="1"/>
    </xf>
    <xf numFmtId="3" fontId="40" fillId="0" borderId="49" xfId="47" applyNumberFormat="1" applyFont="1" applyFill="1" applyBorder="1" applyAlignment="1">
      <alignment horizontal="right" vertical="center"/>
    </xf>
    <xf numFmtId="3" fontId="40" fillId="0" borderId="52" xfId="47" applyNumberFormat="1" applyFont="1" applyFill="1" applyBorder="1" applyAlignment="1">
      <alignment horizontal="right" vertical="center"/>
    </xf>
    <xf numFmtId="3" fontId="40" fillId="0" borderId="50" xfId="47" applyNumberFormat="1" applyFont="1" applyFill="1" applyBorder="1" applyAlignment="1">
      <alignment horizontal="right" vertical="center"/>
    </xf>
    <xf numFmtId="0" fontId="46" fillId="37" borderId="51" xfId="0" applyFont="1" applyFill="1" applyBorder="1" applyAlignment="1">
      <alignment horizontal="center" vertical="center" wrapText="1"/>
    </xf>
    <xf numFmtId="0" fontId="46" fillId="37" borderId="45" xfId="0" applyFont="1" applyFill="1" applyBorder="1" applyAlignment="1">
      <alignment horizontal="center" vertical="center" wrapText="1"/>
    </xf>
    <xf numFmtId="0" fontId="46" fillId="40" borderId="46" xfId="0" applyFont="1" applyFill="1" applyBorder="1" applyAlignment="1">
      <alignment horizontal="left" vertical="center"/>
    </xf>
    <xf numFmtId="0" fontId="46" fillId="40" borderId="47" xfId="0" applyFont="1" applyFill="1" applyBorder="1" applyAlignment="1">
      <alignment horizontal="left" vertical="center"/>
    </xf>
    <xf numFmtId="0" fontId="46" fillId="35" borderId="46" xfId="0" applyFont="1" applyFill="1" applyBorder="1" applyAlignment="1">
      <alignment horizontal="left" vertical="center" wrapText="1"/>
    </xf>
    <xf numFmtId="0" fontId="46" fillId="35" borderId="48" xfId="0" applyFont="1" applyFill="1" applyBorder="1" applyAlignment="1">
      <alignment horizontal="left" vertical="center" wrapText="1"/>
    </xf>
    <xf numFmtId="3" fontId="40" fillId="37" borderId="49" xfId="47" applyNumberFormat="1" applyFont="1" applyFill="1" applyBorder="1" applyAlignment="1">
      <alignment horizontal="right" vertical="center"/>
    </xf>
    <xf numFmtId="3" fontId="40" fillId="37" borderId="52" xfId="47" applyNumberFormat="1" applyFont="1" applyFill="1" applyBorder="1" applyAlignment="1">
      <alignment horizontal="right" vertical="center"/>
    </xf>
    <xf numFmtId="3" fontId="40" fillId="37" borderId="50" xfId="47" applyNumberFormat="1" applyFont="1" applyFill="1" applyBorder="1" applyAlignment="1">
      <alignment horizontal="right" vertical="center"/>
    </xf>
    <xf numFmtId="0" fontId="46" fillId="40" borderId="45" xfId="0" applyFont="1" applyFill="1" applyBorder="1" applyAlignment="1">
      <alignment horizontal="left" vertical="center"/>
    </xf>
    <xf numFmtId="0" fontId="46" fillId="37" borderId="41" xfId="0" applyFont="1" applyFill="1" applyBorder="1" applyAlignment="1">
      <alignment horizontal="left" vertical="center" wrapText="1"/>
    </xf>
    <xf numFmtId="0" fontId="46" fillId="37" borderId="42" xfId="0" applyFont="1" applyFill="1" applyBorder="1" applyAlignment="1">
      <alignment horizontal="left" vertical="center" wrapText="1"/>
    </xf>
    <xf numFmtId="0" fontId="46" fillId="37" borderId="43" xfId="0" applyFont="1" applyFill="1" applyBorder="1" applyAlignment="1">
      <alignment horizontal="left" vertical="center" wrapText="1"/>
    </xf>
    <xf numFmtId="0" fontId="46" fillId="37" borderId="44" xfId="0" applyFont="1" applyFill="1" applyBorder="1" applyAlignment="1">
      <alignment horizontal="left" vertical="center" wrapText="1"/>
    </xf>
    <xf numFmtId="0" fontId="46" fillId="37" borderId="46" xfId="0" applyFont="1" applyFill="1" applyBorder="1" applyAlignment="1">
      <alignment horizontal="left" vertical="center" wrapText="1"/>
    </xf>
    <xf numFmtId="0" fontId="46" fillId="37" borderId="48" xfId="0" applyFont="1" applyFill="1" applyBorder="1" applyAlignment="1">
      <alignment horizontal="left" vertical="center" wrapText="1"/>
    </xf>
    <xf numFmtId="0" fontId="46" fillId="40" borderId="136" xfId="0" applyFont="1" applyFill="1" applyBorder="1" applyAlignment="1">
      <alignment horizontal="left" vertical="center" wrapText="1"/>
    </xf>
    <xf numFmtId="0" fontId="46" fillId="40" borderId="134" xfId="0" applyFont="1" applyFill="1" applyBorder="1" applyAlignment="1">
      <alignment horizontal="left" vertical="center" wrapText="1"/>
    </xf>
    <xf numFmtId="0" fontId="45" fillId="0" borderId="43" xfId="0" applyFont="1" applyBorder="1" applyAlignment="1">
      <alignment horizontal="left" vertical="center"/>
    </xf>
    <xf numFmtId="0" fontId="45" fillId="0" borderId="44" xfId="0" applyFont="1" applyBorder="1" applyAlignment="1">
      <alignment horizontal="left" vertical="center"/>
    </xf>
    <xf numFmtId="0" fontId="46" fillId="0" borderId="43" xfId="0" applyFont="1" applyBorder="1" applyAlignment="1">
      <alignment horizontal="center" vertical="center"/>
    </xf>
    <xf numFmtId="0" fontId="46" fillId="0" borderId="44" xfId="0" applyFont="1" applyBorder="1" applyAlignment="1">
      <alignment horizontal="center" vertical="center"/>
    </xf>
    <xf numFmtId="0" fontId="45" fillId="0" borderId="43" xfId="0" applyFont="1" applyBorder="1" applyAlignment="1">
      <alignment horizontal="center" vertical="center"/>
    </xf>
    <xf numFmtId="0" fontId="45" fillId="0" borderId="44" xfId="0" applyFont="1" applyBorder="1" applyAlignment="1">
      <alignment horizontal="center" vertical="center"/>
    </xf>
    <xf numFmtId="0" fontId="45" fillId="0" borderId="41" xfId="0" applyFont="1" applyBorder="1" applyAlignment="1">
      <alignment horizontal="left" vertical="center"/>
    </xf>
    <xf numFmtId="0" fontId="45" fillId="0" borderId="42" xfId="0" applyFont="1" applyBorder="1" applyAlignment="1">
      <alignment horizontal="left" vertical="center"/>
    </xf>
    <xf numFmtId="0" fontId="46" fillId="40" borderId="48" xfId="0" applyFont="1" applyFill="1" applyBorder="1" applyAlignment="1">
      <alignment horizontal="left" vertical="center"/>
    </xf>
    <xf numFmtId="0" fontId="46" fillId="29" borderId="51" xfId="0" applyFont="1" applyFill="1" applyBorder="1" applyAlignment="1">
      <alignment horizontal="left" vertical="center" wrapText="1"/>
    </xf>
    <xf numFmtId="0" fontId="46" fillId="29" borderId="45" xfId="0" applyFont="1" applyFill="1" applyBorder="1" applyAlignment="1">
      <alignment horizontal="left" vertical="center" wrapText="1"/>
    </xf>
    <xf numFmtId="0" fontId="46" fillId="40" borderId="175" xfId="0" applyFont="1" applyFill="1" applyBorder="1" applyAlignment="1">
      <alignment horizontal="left" vertical="center" wrapText="1"/>
    </xf>
    <xf numFmtId="0" fontId="46" fillId="40" borderId="176" xfId="0" applyFont="1" applyFill="1" applyBorder="1" applyAlignment="1">
      <alignment horizontal="left" vertical="center" wrapText="1"/>
    </xf>
    <xf numFmtId="0" fontId="46" fillId="40" borderId="118" xfId="0" applyFont="1" applyFill="1" applyBorder="1" applyAlignment="1">
      <alignment horizontal="left" vertical="center" wrapText="1"/>
    </xf>
    <xf numFmtId="0" fontId="46" fillId="40" borderId="121" xfId="0" applyFont="1" applyFill="1" applyBorder="1" applyAlignment="1">
      <alignment horizontal="left" vertical="center" wrapText="1"/>
    </xf>
    <xf numFmtId="0" fontId="45" fillId="0" borderId="46" xfId="0" applyFont="1" applyBorder="1" applyAlignment="1">
      <alignment horizontal="left" vertical="center"/>
    </xf>
    <xf numFmtId="0" fontId="45" fillId="0" borderId="48" xfId="0" applyFont="1" applyBorder="1" applyAlignment="1">
      <alignment horizontal="left" vertical="center"/>
    </xf>
    <xf numFmtId="0" fontId="45" fillId="0" borderId="43" xfId="0" applyFont="1" applyBorder="1" applyAlignment="1">
      <alignment horizontal="left" vertical="center" wrapText="1"/>
    </xf>
    <xf numFmtId="0" fontId="45" fillId="0" borderId="44" xfId="0" applyFont="1" applyBorder="1" applyAlignment="1">
      <alignment horizontal="left" vertical="center" wrapText="1"/>
    </xf>
    <xf numFmtId="0" fontId="46" fillId="0" borderId="51" xfId="0" applyFont="1" applyFill="1" applyBorder="1" applyAlignment="1">
      <alignment horizontal="left" vertical="center" wrapText="1"/>
    </xf>
    <xf numFmtId="0" fontId="46" fillId="0" borderId="45" xfId="0" applyFont="1" applyFill="1" applyBorder="1" applyAlignment="1">
      <alignment horizontal="left" vertical="center" wrapText="1"/>
    </xf>
    <xf numFmtId="0" fontId="46" fillId="43" borderId="51" xfId="0" applyFont="1" applyFill="1" applyBorder="1" applyAlignment="1">
      <alignment horizontal="left" vertical="center" wrapText="1"/>
    </xf>
    <xf numFmtId="0" fontId="46" fillId="43" borderId="45" xfId="0" applyFont="1" applyFill="1" applyBorder="1" applyAlignment="1">
      <alignment horizontal="left" vertical="center" wrapText="1"/>
    </xf>
    <xf numFmtId="0" fontId="46" fillId="37" borderId="51" xfId="0" applyFont="1" applyFill="1" applyBorder="1" applyAlignment="1">
      <alignment horizontal="left" vertical="center" wrapText="1"/>
    </xf>
    <xf numFmtId="0" fontId="46" fillId="37" borderId="45" xfId="0" applyFont="1" applyFill="1" applyBorder="1" applyAlignment="1">
      <alignment horizontal="left" vertical="center" wrapText="1"/>
    </xf>
    <xf numFmtId="0" fontId="46" fillId="0" borderId="45" xfId="0" applyFont="1" applyFill="1" applyBorder="1" applyAlignment="1">
      <alignment horizontal="center" vertical="center"/>
    </xf>
    <xf numFmtId="0" fontId="46" fillId="35" borderId="20" xfId="0" applyFont="1" applyFill="1" applyBorder="1" applyAlignment="1">
      <alignment horizontal="left" vertical="center" wrapText="1"/>
    </xf>
    <xf numFmtId="0" fontId="46" fillId="0" borderId="51" xfId="0" applyFont="1" applyFill="1" applyBorder="1" applyAlignment="1">
      <alignment horizontal="center" vertical="center" wrapText="1"/>
    </xf>
    <xf numFmtId="0" fontId="46" fillId="0" borderId="20" xfId="0" applyFont="1" applyFill="1" applyBorder="1" applyAlignment="1">
      <alignment horizontal="center" vertical="center" wrapText="1"/>
    </xf>
    <xf numFmtId="0" fontId="46" fillId="0" borderId="45" xfId="0" applyFont="1" applyFill="1" applyBorder="1" applyAlignment="1">
      <alignment horizontal="center" vertical="center" wrapText="1"/>
    </xf>
    <xf numFmtId="49" fontId="29" fillId="0" borderId="12" xfId="46" applyNumberFormat="1" applyFont="1" applyBorder="1" applyAlignment="1" applyProtection="1">
      <alignment horizontal="center" vertical="top"/>
    </xf>
    <xf numFmtId="0" fontId="29" fillId="0" borderId="11" xfId="46" applyFont="1" applyBorder="1" applyAlignment="1" applyProtection="1">
      <alignment horizontal="center"/>
    </xf>
    <xf numFmtId="0" fontId="29" fillId="0" borderId="0" xfId="0" applyFont="1" applyAlignment="1">
      <alignment horizontal="center" vertical="center"/>
    </xf>
    <xf numFmtId="3" fontId="45" fillId="0" borderId="71" xfId="47" applyNumberFormat="1" applyFont="1" applyFill="1" applyBorder="1" applyAlignment="1">
      <alignment horizontal="right" vertical="center"/>
    </xf>
    <xf numFmtId="3" fontId="45" fillId="0" borderId="65" xfId="47" applyNumberFormat="1" applyFont="1" applyFill="1" applyBorder="1" applyAlignment="1">
      <alignment vertical="center"/>
    </xf>
    <xf numFmtId="3" fontId="45" fillId="0" borderId="62" xfId="47" applyNumberFormat="1" applyFont="1" applyFill="1" applyBorder="1" applyAlignment="1">
      <alignment vertical="center"/>
    </xf>
    <xf numFmtId="49" fontId="45" fillId="0" borderId="0" xfId="0" applyNumberFormat="1" applyFont="1" applyFill="1" applyBorder="1"/>
    <xf numFmtId="0" fontId="21" fillId="0" borderId="140" xfId="0" applyFont="1" applyFill="1" applyBorder="1" applyAlignment="1">
      <alignment horizontal="center" vertical="center" wrapText="1"/>
    </xf>
    <xf numFmtId="3" fontId="39" fillId="0" borderId="141" xfId="0" applyNumberFormat="1" applyFont="1" applyFill="1" applyBorder="1" applyAlignment="1">
      <alignment horizontal="left" vertical="center" wrapText="1"/>
    </xf>
    <xf numFmtId="3" fontId="45" fillId="0" borderId="141" xfId="47" applyNumberFormat="1" applyFont="1" applyFill="1" applyBorder="1" applyAlignment="1">
      <alignment vertical="center"/>
    </xf>
    <xf numFmtId="3" fontId="45" fillId="0" borderId="102" xfId="47" applyNumberFormat="1" applyFont="1" applyFill="1" applyBorder="1" applyAlignment="1">
      <alignment vertical="center"/>
    </xf>
    <xf numFmtId="4" fontId="45" fillId="0" borderId="0" xfId="0" applyNumberFormat="1" applyFont="1" applyFill="1" applyBorder="1" applyAlignment="1">
      <alignment wrapText="1"/>
    </xf>
    <xf numFmtId="17" fontId="45" fillId="0" borderId="0" xfId="0" applyNumberFormat="1" applyFont="1" applyFill="1" applyBorder="1"/>
    <xf numFmtId="4" fontId="45" fillId="0" borderId="0" xfId="47" applyNumberFormat="1" applyFont="1" applyFill="1" applyBorder="1"/>
    <xf numFmtId="4" fontId="46" fillId="0" borderId="40" xfId="47" applyNumberFormat="1" applyFont="1" applyFill="1" applyBorder="1" applyAlignment="1">
      <alignment horizontal="right" vertical="center"/>
    </xf>
    <xf numFmtId="3" fontId="73" fillId="0" borderId="41" xfId="47" applyNumberFormat="1" applyFont="1" applyFill="1" applyBorder="1" applyAlignment="1">
      <alignment horizontal="right" vertical="center"/>
    </xf>
    <xf numFmtId="0" fontId="21" fillId="0" borderId="67" xfId="0" applyFont="1" applyFill="1" applyBorder="1" applyAlignment="1">
      <alignment horizontal="center" vertical="center" wrapText="1"/>
    </xf>
    <xf numFmtId="3" fontId="45" fillId="0" borderId="61" xfId="47" applyNumberFormat="1" applyFont="1" applyFill="1" applyBorder="1" applyAlignment="1">
      <alignment vertical="center"/>
    </xf>
    <xf numFmtId="3" fontId="45" fillId="0" borderId="70" xfId="47" applyNumberFormat="1" applyFont="1" applyFill="1" applyBorder="1" applyAlignment="1">
      <alignment vertical="center"/>
    </xf>
    <xf numFmtId="3" fontId="39" fillId="0" borderId="84" xfId="0" applyNumberFormat="1" applyFont="1" applyFill="1" applyBorder="1" applyAlignment="1">
      <alignment horizontal="left" vertical="center" wrapText="1"/>
    </xf>
    <xf numFmtId="3" fontId="45" fillId="0" borderId="84" xfId="47" applyNumberFormat="1" applyFont="1" applyFill="1" applyBorder="1" applyAlignment="1">
      <alignment vertical="center"/>
    </xf>
    <xf numFmtId="3" fontId="45" fillId="0" borderId="71" xfId="47" applyNumberFormat="1" applyFont="1" applyFill="1" applyBorder="1" applyAlignment="1">
      <alignment vertical="center"/>
    </xf>
    <xf numFmtId="0" fontId="21" fillId="0" borderId="88" xfId="0" applyFont="1" applyFill="1" applyBorder="1" applyAlignment="1">
      <alignment horizontal="center" vertical="center" wrapText="1"/>
    </xf>
    <xf numFmtId="3" fontId="39" fillId="0" borderId="85" xfId="0" applyNumberFormat="1" applyFont="1" applyFill="1" applyBorder="1" applyAlignment="1">
      <alignment horizontal="left" vertical="center" wrapText="1"/>
    </xf>
    <xf numFmtId="3" fontId="45" fillId="0" borderId="85" xfId="47" applyNumberFormat="1" applyFont="1" applyFill="1" applyBorder="1" applyAlignment="1">
      <alignment vertical="center"/>
    </xf>
    <xf numFmtId="3" fontId="45" fillId="0" borderId="91" xfId="47" applyNumberFormat="1" applyFont="1" applyFill="1" applyBorder="1" applyAlignment="1">
      <alignment vertical="center"/>
    </xf>
    <xf numFmtId="3" fontId="45" fillId="0" borderId="67" xfId="47" applyNumberFormat="1" applyFont="1" applyFill="1" applyBorder="1" applyAlignment="1">
      <alignment vertical="center"/>
    </xf>
    <xf numFmtId="3" fontId="45" fillId="0" borderId="101" xfId="47" applyNumberFormat="1" applyFont="1" applyFill="1" applyBorder="1" applyAlignment="1">
      <alignment vertical="center"/>
    </xf>
    <xf numFmtId="3" fontId="45" fillId="0" borderId="100" xfId="47" applyNumberFormat="1" applyFont="1" applyFill="1" applyBorder="1" applyAlignment="1">
      <alignment vertical="center"/>
    </xf>
    <xf numFmtId="3" fontId="45" fillId="0" borderId="78" xfId="47" applyNumberFormat="1" applyFont="1" applyFill="1" applyBorder="1" applyAlignment="1">
      <alignment vertical="center"/>
    </xf>
    <xf numFmtId="3" fontId="45" fillId="0" borderId="73" xfId="47" applyNumberFormat="1" applyFont="1" applyFill="1" applyBorder="1" applyAlignment="1">
      <alignment vertical="center"/>
    </xf>
    <xf numFmtId="0" fontId="21" fillId="0" borderId="68" xfId="0" applyFont="1" applyFill="1" applyBorder="1" applyAlignment="1">
      <alignment horizontal="center" vertical="center" wrapText="1"/>
    </xf>
    <xf numFmtId="3" fontId="21" fillId="0" borderId="62" xfId="0" applyNumberFormat="1" applyFont="1" applyFill="1" applyBorder="1" applyAlignment="1">
      <alignment horizontal="left" vertical="center" wrapText="1"/>
    </xf>
    <xf numFmtId="3" fontId="39" fillId="0" borderId="62" xfId="0" applyNumberFormat="1" applyFont="1" applyFill="1" applyBorder="1" applyAlignment="1">
      <alignment horizontal="left" vertical="center" wrapText="1"/>
    </xf>
    <xf numFmtId="0" fontId="21" fillId="0" borderId="78" xfId="0" applyFont="1" applyFill="1" applyBorder="1" applyAlignment="1">
      <alignment horizontal="center" vertical="center" wrapText="1"/>
    </xf>
    <xf numFmtId="3" fontId="39" fillId="0" borderId="73" xfId="0" applyNumberFormat="1" applyFont="1" applyFill="1" applyBorder="1" applyAlignment="1">
      <alignment horizontal="left" vertical="center" wrapText="1"/>
    </xf>
    <xf numFmtId="3" fontId="45" fillId="0" borderId="79" xfId="47" applyNumberFormat="1" applyFont="1" applyFill="1" applyBorder="1" applyAlignment="1">
      <alignment vertical="center"/>
    </xf>
    <xf numFmtId="3" fontId="21" fillId="0" borderId="86" xfId="49" applyNumberFormat="1" applyFont="1" applyFill="1" applyBorder="1" applyAlignment="1">
      <alignment horizontal="left" vertical="center" wrapText="1"/>
    </xf>
    <xf numFmtId="3" fontId="45" fillId="0" borderId="77" xfId="47" applyNumberFormat="1" applyFont="1" applyFill="1" applyBorder="1" applyAlignment="1">
      <alignment horizontal="right" vertical="center"/>
    </xf>
    <xf numFmtId="3" fontId="45" fillId="0" borderId="77" xfId="47" applyNumberFormat="1" applyFont="1" applyFill="1" applyBorder="1" applyAlignment="1">
      <alignment vertical="center"/>
    </xf>
    <xf numFmtId="3" fontId="45" fillId="0" borderId="86" xfId="47" applyNumberFormat="1" applyFont="1" applyFill="1" applyBorder="1" applyAlignment="1">
      <alignment vertical="center"/>
    </xf>
    <xf numFmtId="0" fontId="45" fillId="0" borderId="77" xfId="0" applyFont="1" applyFill="1" applyBorder="1" applyAlignment="1">
      <alignment horizontal="center" vertical="center"/>
    </xf>
    <xf numFmtId="3" fontId="21" fillId="0" borderId="132" xfId="49" applyNumberFormat="1" applyFont="1" applyFill="1" applyBorder="1" applyAlignment="1">
      <alignment horizontal="left" vertical="center" wrapText="1"/>
    </xf>
    <xf numFmtId="3" fontId="45" fillId="0" borderId="132" xfId="47" applyNumberFormat="1" applyFont="1" applyFill="1" applyBorder="1" applyAlignment="1">
      <alignment horizontal="right" vertical="center"/>
    </xf>
    <xf numFmtId="3" fontId="45" fillId="0" borderId="132" xfId="47" applyNumberFormat="1" applyFont="1" applyFill="1" applyBorder="1" applyAlignment="1">
      <alignment vertical="center"/>
    </xf>
    <xf numFmtId="0" fontId="45" fillId="0" borderId="132" xfId="0" applyFont="1" applyFill="1" applyBorder="1" applyAlignment="1">
      <alignment horizontal="center" vertical="center"/>
    </xf>
    <xf numFmtId="3" fontId="23" fillId="0" borderId="132" xfId="49" applyNumberFormat="1" applyFont="1" applyFill="1" applyBorder="1" applyAlignment="1">
      <alignment horizontal="left" vertical="center" wrapText="1"/>
    </xf>
    <xf numFmtId="0" fontId="45" fillId="0" borderId="133" xfId="0" applyFont="1" applyFill="1" applyBorder="1" applyAlignment="1">
      <alignment horizontal="center" vertical="center"/>
    </xf>
    <xf numFmtId="3" fontId="23" fillId="0" borderId="133" xfId="49" applyNumberFormat="1" applyFont="1" applyFill="1" applyBorder="1" applyAlignment="1">
      <alignment horizontal="left" vertical="center" wrapText="1"/>
    </xf>
    <xf numFmtId="3" fontId="45" fillId="0" borderId="133" xfId="47" applyNumberFormat="1" applyFont="1" applyFill="1" applyBorder="1" applyAlignment="1">
      <alignment horizontal="right" vertical="center"/>
    </xf>
    <xf numFmtId="3" fontId="45" fillId="0" borderId="133" xfId="47" applyNumberFormat="1" applyFont="1" applyFill="1" applyBorder="1" applyAlignment="1">
      <alignment vertical="center"/>
    </xf>
    <xf numFmtId="3" fontId="45" fillId="0" borderId="134" xfId="47" applyNumberFormat="1" applyFont="1" applyFill="1" applyBorder="1" applyAlignment="1">
      <alignment vertical="center"/>
    </xf>
    <xf numFmtId="3" fontId="65" fillId="0" borderId="61" xfId="47" applyNumberFormat="1" applyFont="1" applyFill="1" applyBorder="1" applyAlignment="1">
      <alignment horizontal="right" vertical="center"/>
    </xf>
    <xf numFmtId="3" fontId="65" fillId="0" borderId="70" xfId="47" applyNumberFormat="1" applyFont="1" applyFill="1" applyBorder="1" applyAlignment="1">
      <alignment horizontal="right" vertical="center"/>
    </xf>
    <xf numFmtId="0" fontId="45" fillId="0" borderId="77" xfId="0" applyFont="1" applyFill="1" applyBorder="1" applyAlignment="1">
      <alignment vertical="center" wrapText="1"/>
    </xf>
    <xf numFmtId="3" fontId="65" fillId="0" borderId="12" xfId="47" applyNumberFormat="1" applyFont="1" applyFill="1" applyBorder="1" applyAlignment="1">
      <alignment horizontal="right" vertical="center"/>
    </xf>
    <xf numFmtId="3" fontId="65" fillId="0" borderId="77" xfId="47" applyNumberFormat="1" applyFont="1" applyFill="1" applyBorder="1" applyAlignment="1">
      <alignment horizontal="right" vertical="center"/>
    </xf>
    <xf numFmtId="3" fontId="65" fillId="0" borderId="86" xfId="47" applyNumberFormat="1" applyFont="1" applyFill="1" applyBorder="1" applyAlignment="1">
      <alignment horizontal="right" vertical="center"/>
    </xf>
    <xf numFmtId="0" fontId="45" fillId="0" borderId="141" xfId="0" applyFont="1" applyFill="1" applyBorder="1" applyAlignment="1">
      <alignment vertical="center" wrapText="1"/>
    </xf>
    <xf numFmtId="3" fontId="65" fillId="0" borderId="141" xfId="47" applyNumberFormat="1" applyFont="1" applyFill="1" applyBorder="1" applyAlignment="1">
      <alignment horizontal="right" vertical="center"/>
    </xf>
    <xf numFmtId="3" fontId="65" fillId="0" borderId="71" xfId="47" applyNumberFormat="1" applyFont="1" applyFill="1" applyBorder="1" applyAlignment="1">
      <alignment horizontal="right" vertical="center"/>
    </xf>
    <xf numFmtId="3" fontId="65" fillId="0" borderId="73" xfId="47" applyNumberFormat="1" applyFont="1" applyFill="1" applyBorder="1" applyAlignment="1">
      <alignment horizontal="right" vertical="center"/>
    </xf>
    <xf numFmtId="3" fontId="65" fillId="0" borderId="79" xfId="47" applyNumberFormat="1" applyFont="1" applyFill="1" applyBorder="1" applyAlignment="1">
      <alignment horizontal="right" vertical="center"/>
    </xf>
    <xf numFmtId="0" fontId="45" fillId="0" borderId="143" xfId="0" applyFont="1" applyFill="1" applyBorder="1" applyAlignment="1">
      <alignment vertical="center" wrapText="1"/>
    </xf>
    <xf numFmtId="3" fontId="65" fillId="0" borderId="144" xfId="47" applyNumberFormat="1" applyFont="1" applyFill="1" applyBorder="1" applyAlignment="1">
      <alignment horizontal="right" vertical="center"/>
    </xf>
    <xf numFmtId="3" fontId="65" fillId="0" borderId="143" xfId="47" applyNumberFormat="1" applyFont="1" applyFill="1" applyBorder="1" applyAlignment="1">
      <alignment horizontal="right" vertical="center"/>
    </xf>
    <xf numFmtId="3" fontId="65" fillId="0" borderId="145" xfId="47" applyNumberFormat="1" applyFont="1" applyFill="1" applyBorder="1" applyAlignment="1">
      <alignment horizontal="right" vertical="center"/>
    </xf>
    <xf numFmtId="3" fontId="45" fillId="0" borderId="137" xfId="47" applyNumberFormat="1" applyFont="1" applyFill="1" applyBorder="1" applyAlignment="1">
      <alignment horizontal="right" vertical="center"/>
    </xf>
    <xf numFmtId="0" fontId="45" fillId="0" borderId="109" xfId="0" applyFont="1" applyFill="1" applyBorder="1" applyAlignment="1">
      <alignment horizontal="center" vertical="center"/>
    </xf>
    <xf numFmtId="3" fontId="39" fillId="0" borderId="111" xfId="0" applyNumberFormat="1" applyFont="1" applyFill="1" applyBorder="1" applyAlignment="1">
      <alignment horizontal="left" vertical="center" wrapText="1"/>
    </xf>
    <xf numFmtId="3" fontId="45" fillId="0" borderId="111" xfId="47" applyNumberFormat="1" applyFont="1" applyFill="1" applyBorder="1" applyAlignment="1">
      <alignment vertical="center"/>
    </xf>
    <xf numFmtId="3" fontId="45" fillId="0" borderId="114" xfId="47" applyNumberFormat="1" applyFont="1" applyFill="1" applyBorder="1" applyAlignment="1">
      <alignment horizontal="right" vertical="center"/>
    </xf>
    <xf numFmtId="3" fontId="45" fillId="0" borderId="113" xfId="47" applyNumberFormat="1" applyFont="1" applyFill="1" applyBorder="1" applyAlignment="1">
      <alignment vertical="center"/>
    </xf>
    <xf numFmtId="3" fontId="45" fillId="0" borderId="115" xfId="47" applyNumberFormat="1" applyFont="1" applyFill="1" applyBorder="1" applyAlignment="1">
      <alignment vertical="center"/>
    </xf>
    <xf numFmtId="3" fontId="45" fillId="0" borderId="35" xfId="47" applyNumberFormat="1" applyFont="1" applyFill="1" applyBorder="1" applyAlignment="1">
      <alignment horizontal="right" vertical="center"/>
    </xf>
    <xf numFmtId="3" fontId="45" fillId="0" borderId="87" xfId="47" applyNumberFormat="1" applyFont="1" applyFill="1" applyBorder="1" applyAlignment="1">
      <alignment vertical="center"/>
    </xf>
    <xf numFmtId="0" fontId="65" fillId="0" borderId="45" xfId="0" applyFont="1" applyFill="1" applyBorder="1" applyAlignment="1">
      <alignment horizontal="center" vertical="center"/>
    </xf>
    <xf numFmtId="3" fontId="39" fillId="0" borderId="65" xfId="0" applyNumberFormat="1" applyFont="1" applyFill="1" applyBorder="1" applyAlignment="1">
      <alignment horizontal="left" vertical="center" wrapText="1"/>
    </xf>
    <xf numFmtId="3" fontId="65" fillId="0" borderId="12" xfId="47" applyNumberFormat="1" applyFont="1" applyFill="1" applyBorder="1" applyAlignment="1">
      <alignment vertical="center"/>
    </xf>
    <xf numFmtId="3" fontId="65" fillId="0" borderId="61" xfId="47" applyNumberFormat="1" applyFont="1" applyFill="1" applyBorder="1" applyAlignment="1">
      <alignment vertical="center"/>
    </xf>
    <xf numFmtId="0" fontId="45" fillId="0" borderId="45" xfId="0" applyFont="1" applyFill="1" applyBorder="1" applyAlignment="1">
      <alignment horizontal="center" vertical="center"/>
    </xf>
    <xf numFmtId="3" fontId="23" fillId="0" borderId="46" xfId="49" applyNumberFormat="1" applyFont="1" applyFill="1" applyBorder="1" applyAlignment="1">
      <alignment horizontal="left" vertical="center" wrapText="1"/>
    </xf>
    <xf numFmtId="3" fontId="45" fillId="0" borderId="50" xfId="47" applyNumberFormat="1" applyFont="1" applyFill="1" applyBorder="1" applyAlignment="1">
      <alignment horizontal="right" vertical="center"/>
    </xf>
    <xf numFmtId="3" fontId="45" fillId="0" borderId="47" xfId="47" applyNumberFormat="1" applyFont="1" applyFill="1" applyBorder="1" applyAlignment="1">
      <alignment vertical="center"/>
    </xf>
    <xf numFmtId="3" fontId="39" fillId="0" borderId="83" xfId="0" applyNumberFormat="1" applyFont="1" applyFill="1" applyBorder="1" applyAlignment="1">
      <alignment horizontal="left" vertical="center" wrapText="1"/>
    </xf>
    <xf numFmtId="3" fontId="45" fillId="0" borderId="83" xfId="47" applyNumberFormat="1" applyFont="1" applyFill="1" applyBorder="1" applyAlignment="1">
      <alignment vertical="center"/>
    </xf>
    <xf numFmtId="0" fontId="45" fillId="0" borderId="83"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62" xfId="0" applyFont="1" applyFill="1" applyBorder="1" applyAlignment="1">
      <alignment horizontal="left" vertical="center"/>
    </xf>
    <xf numFmtId="0" fontId="45" fillId="0" borderId="105" xfId="0" applyFont="1" applyFill="1" applyBorder="1" applyAlignment="1">
      <alignment horizontal="center" vertical="center"/>
    </xf>
    <xf numFmtId="3" fontId="45" fillId="0" borderId="103" xfId="47" applyNumberFormat="1" applyFont="1" applyFill="1" applyBorder="1" applyAlignment="1">
      <alignment vertical="center"/>
    </xf>
    <xf numFmtId="0" fontId="45" fillId="0" borderId="103" xfId="0" applyFont="1" applyFill="1" applyBorder="1" applyAlignment="1">
      <alignment vertical="center" wrapText="1"/>
    </xf>
    <xf numFmtId="0" fontId="45" fillId="0" borderId="106" xfId="0" applyFont="1" applyFill="1" applyBorder="1" applyAlignment="1">
      <alignment horizontal="center" vertical="center"/>
    </xf>
    <xf numFmtId="3" fontId="45" fillId="0" borderId="107" xfId="47" applyNumberFormat="1" applyFont="1" applyFill="1" applyBorder="1" applyAlignment="1">
      <alignment horizontal="right" vertical="center"/>
    </xf>
    <xf numFmtId="3" fontId="45" fillId="0" borderId="104" xfId="47" applyNumberFormat="1" applyFont="1" applyFill="1" applyBorder="1" applyAlignment="1">
      <alignment vertical="center"/>
    </xf>
    <xf numFmtId="3" fontId="45" fillId="0" borderId="108" xfId="47" applyNumberFormat="1" applyFont="1" applyFill="1" applyBorder="1" applyAlignment="1">
      <alignment vertical="center"/>
    </xf>
    <xf numFmtId="0" fontId="45" fillId="0" borderId="96" xfId="0" applyFont="1" applyFill="1" applyBorder="1" applyAlignment="1">
      <alignment horizontal="center" vertical="center"/>
    </xf>
    <xf numFmtId="3" fontId="39" fillId="0" borderId="97" xfId="0" applyNumberFormat="1" applyFont="1" applyFill="1" applyBorder="1" applyAlignment="1">
      <alignment horizontal="left" vertical="center" wrapText="1"/>
    </xf>
    <xf numFmtId="3" fontId="45" fillId="0" borderId="97" xfId="47" applyNumberFormat="1" applyFont="1" applyFill="1" applyBorder="1" applyAlignment="1">
      <alignment vertical="center"/>
    </xf>
    <xf numFmtId="0" fontId="45" fillId="0" borderId="94" xfId="0" applyFont="1" applyFill="1" applyBorder="1" applyAlignment="1">
      <alignment horizontal="center" vertical="center"/>
    </xf>
    <xf numFmtId="0" fontId="45" fillId="0" borderId="95" xfId="0" applyFont="1" applyFill="1" applyBorder="1" applyAlignment="1">
      <alignment vertical="center" wrapText="1"/>
    </xf>
    <xf numFmtId="3" fontId="45" fillId="0" borderId="98" xfId="47" applyNumberFormat="1" applyFont="1" applyFill="1" applyBorder="1" applyAlignment="1">
      <alignment horizontal="right" vertical="center"/>
    </xf>
    <xf numFmtId="3" fontId="45" fillId="0" borderId="95" xfId="47" applyNumberFormat="1" applyFont="1" applyFill="1" applyBorder="1" applyAlignment="1">
      <alignment vertical="center"/>
    </xf>
    <xf numFmtId="3" fontId="45" fillId="0" borderId="99" xfId="47" applyNumberFormat="1" applyFont="1" applyFill="1" applyBorder="1" applyAlignment="1">
      <alignment vertical="center"/>
    </xf>
    <xf numFmtId="3" fontId="65" fillId="0" borderId="40" xfId="47" applyNumberFormat="1" applyFont="1" applyFill="1" applyBorder="1" applyAlignment="1">
      <alignment horizontal="right" vertical="center"/>
    </xf>
    <xf numFmtId="0" fontId="45" fillId="0" borderId="118" xfId="0" applyFont="1" applyFill="1" applyBorder="1" applyAlignment="1">
      <alignment vertical="center" wrapText="1"/>
    </xf>
    <xf numFmtId="3" fontId="65" fillId="0" borderId="50" xfId="47" applyNumberFormat="1" applyFont="1" applyFill="1" applyBorder="1" applyAlignment="1">
      <alignment horizontal="right" vertical="center"/>
    </xf>
    <xf numFmtId="3" fontId="65" fillId="0" borderId="52" xfId="47" applyNumberFormat="1" applyFont="1" applyFill="1" applyBorder="1" applyAlignment="1">
      <alignment horizontal="right" vertical="center"/>
    </xf>
    <xf numFmtId="3" fontId="65" fillId="0" borderId="0" xfId="47" applyNumberFormat="1" applyFont="1" applyFill="1" applyBorder="1" applyAlignment="1">
      <alignment horizontal="right" vertical="center"/>
    </xf>
    <xf numFmtId="3" fontId="45" fillId="0" borderId="93" xfId="47" applyNumberFormat="1" applyFont="1" applyFill="1" applyBorder="1" applyAlignment="1">
      <alignment vertical="center"/>
    </xf>
    <xf numFmtId="3" fontId="65" fillId="0" borderId="64" xfId="47" applyNumberFormat="1" applyFont="1" applyFill="1" applyBorder="1" applyAlignment="1">
      <alignment vertical="center"/>
    </xf>
    <xf numFmtId="0" fontId="45" fillId="0" borderId="92" xfId="0" applyFont="1" applyFill="1" applyBorder="1" applyAlignment="1">
      <alignment horizontal="center" vertical="center"/>
    </xf>
    <xf numFmtId="0" fontId="45" fillId="0" borderId="105" xfId="0" applyFont="1" applyFill="1" applyBorder="1" applyAlignment="1">
      <alignment horizontal="left" vertical="center"/>
    </xf>
    <xf numFmtId="3" fontId="45" fillId="0" borderId="105" xfId="47" applyNumberFormat="1" applyFont="1" applyFill="1" applyBorder="1" applyAlignment="1">
      <alignment horizontal="right" vertical="center"/>
    </xf>
    <xf numFmtId="3" fontId="45" fillId="0" borderId="110" xfId="47" applyNumberFormat="1" applyFont="1" applyFill="1" applyBorder="1" applyAlignment="1">
      <alignment vertical="center"/>
    </xf>
    <xf numFmtId="0" fontId="45" fillId="0" borderId="46" xfId="0" applyFont="1" applyFill="1" applyBorder="1" applyAlignment="1">
      <alignment vertical="center" wrapText="1"/>
    </xf>
    <xf numFmtId="0" fontId="45" fillId="0" borderId="146" xfId="0" applyFont="1" applyFill="1" applyBorder="1" applyAlignment="1">
      <alignment horizontal="center" vertical="center"/>
    </xf>
    <xf numFmtId="3" fontId="39" fillId="0" borderId="147" xfId="0" applyNumberFormat="1" applyFont="1" applyFill="1" applyBorder="1" applyAlignment="1">
      <alignment horizontal="left" vertical="center" wrapText="1"/>
    </xf>
    <xf numFmtId="3" fontId="45" fillId="0" borderId="148" xfId="47" applyNumberFormat="1" applyFont="1" applyFill="1" applyBorder="1" applyAlignment="1">
      <alignment horizontal="right" vertical="center"/>
    </xf>
    <xf numFmtId="3" fontId="45" fillId="0" borderId="147" xfId="47" applyNumberFormat="1" applyFont="1" applyFill="1" applyBorder="1" applyAlignment="1">
      <alignment vertical="center"/>
    </xf>
    <xf numFmtId="3" fontId="45" fillId="0" borderId="149" xfId="47" applyNumberFormat="1" applyFont="1" applyFill="1" applyBorder="1" applyAlignment="1">
      <alignment vertical="center"/>
    </xf>
    <xf numFmtId="3" fontId="45" fillId="0" borderId="26" xfId="47" applyNumberFormat="1" applyFont="1" applyFill="1" applyBorder="1" applyAlignment="1">
      <alignment horizontal="right" vertical="center"/>
    </xf>
    <xf numFmtId="0" fontId="45" fillId="0" borderId="169" xfId="0" applyFont="1" applyFill="1" applyBorder="1" applyAlignment="1">
      <alignment horizontal="center" vertical="center"/>
    </xf>
    <xf numFmtId="0" fontId="45" fillId="0" borderId="171" xfId="0" applyFont="1" applyFill="1" applyBorder="1" applyAlignment="1">
      <alignment vertical="center" wrapText="1"/>
    </xf>
    <xf numFmtId="3" fontId="45" fillId="0" borderId="171" xfId="47" applyNumberFormat="1" applyFont="1" applyFill="1" applyBorder="1" applyAlignment="1">
      <alignment vertical="center"/>
    </xf>
    <xf numFmtId="0" fontId="45" fillId="0" borderId="170" xfId="0" applyFont="1" applyFill="1" applyBorder="1" applyAlignment="1">
      <alignment horizontal="center" vertical="center"/>
    </xf>
    <xf numFmtId="0" fontId="45" fillId="0" borderId="172" xfId="0" applyFont="1" applyFill="1" applyBorder="1" applyAlignment="1">
      <alignment vertical="center" wrapText="1"/>
    </xf>
    <xf numFmtId="3" fontId="45" fillId="0" borderId="173" xfId="47" applyNumberFormat="1" applyFont="1" applyFill="1" applyBorder="1" applyAlignment="1">
      <alignment horizontal="right" vertical="center"/>
    </xf>
    <xf numFmtId="3" fontId="45" fillId="0" borderId="172" xfId="47" applyNumberFormat="1" applyFont="1" applyFill="1" applyBorder="1" applyAlignment="1">
      <alignment vertical="center"/>
    </xf>
    <xf numFmtId="3" fontId="45" fillId="0" borderId="174" xfId="47" applyNumberFormat="1" applyFont="1" applyFill="1" applyBorder="1" applyAlignment="1">
      <alignment vertical="center"/>
    </xf>
    <xf numFmtId="3" fontId="45" fillId="0" borderId="119" xfId="47" applyNumberFormat="1" applyFont="1" applyFill="1" applyBorder="1" applyAlignment="1">
      <alignment vertical="center"/>
    </xf>
    <xf numFmtId="3" fontId="45" fillId="0" borderId="121" xfId="47" applyNumberFormat="1" applyFont="1" applyFill="1" applyBorder="1" applyAlignment="1">
      <alignment vertical="center"/>
    </xf>
    <xf numFmtId="0" fontId="45" fillId="0" borderId="113" xfId="0" applyFont="1" applyFill="1" applyBorder="1" applyAlignment="1">
      <alignment vertical="center" wrapText="1"/>
    </xf>
    <xf numFmtId="0" fontId="45" fillId="0" borderId="67" xfId="0" applyFont="1" applyFill="1" applyBorder="1" applyAlignment="1">
      <alignment horizontal="left" vertical="center"/>
    </xf>
    <xf numFmtId="4" fontId="45" fillId="0" borderId="61" xfId="47" applyNumberFormat="1" applyFont="1" applyFill="1" applyBorder="1" applyAlignment="1">
      <alignment horizontal="right" vertical="center"/>
    </xf>
    <xf numFmtId="4" fontId="45" fillId="0" borderId="64" xfId="47" applyNumberFormat="1" applyFont="1" applyFill="1" applyBorder="1" applyAlignment="1">
      <alignment vertical="center"/>
    </xf>
    <xf numFmtId="4" fontId="45" fillId="0" borderId="61" xfId="47" applyNumberFormat="1" applyFont="1" applyFill="1" applyBorder="1" applyAlignment="1">
      <alignment vertical="center"/>
    </xf>
    <xf numFmtId="0" fontId="45" fillId="0" borderId="116" xfId="0" applyFont="1" applyFill="1" applyBorder="1" applyAlignment="1">
      <alignment horizontal="left" vertical="center"/>
    </xf>
    <xf numFmtId="3" fontId="39" fillId="0" borderId="117" xfId="0" applyNumberFormat="1" applyFont="1" applyFill="1" applyBorder="1" applyAlignment="1">
      <alignment horizontal="left" vertical="center" wrapText="1"/>
    </xf>
    <xf numFmtId="4" fontId="45" fillId="0" borderId="117" xfId="47" applyNumberFormat="1" applyFont="1" applyFill="1" applyBorder="1" applyAlignment="1">
      <alignment horizontal="right" vertical="center"/>
    </xf>
    <xf numFmtId="4" fontId="45" fillId="0" borderId="65" xfId="47" applyNumberFormat="1" applyFont="1" applyFill="1" applyBorder="1" applyAlignment="1">
      <alignment vertical="center"/>
    </xf>
    <xf numFmtId="4" fontId="45" fillId="0" borderId="117" xfId="47" applyNumberFormat="1" applyFont="1" applyFill="1" applyBorder="1" applyAlignment="1">
      <alignment vertical="center"/>
    </xf>
    <xf numFmtId="0" fontId="45" fillId="0" borderId="117" xfId="0" applyFont="1" applyFill="1" applyBorder="1" applyAlignment="1">
      <alignment horizontal="left" vertical="center"/>
    </xf>
    <xf numFmtId="3" fontId="45" fillId="0" borderId="117" xfId="47" applyNumberFormat="1" applyFont="1" applyFill="1" applyBorder="1" applyAlignment="1">
      <alignment horizontal="right" vertical="center"/>
    </xf>
    <xf numFmtId="3" fontId="45" fillId="0" borderId="117" xfId="47" applyNumberFormat="1" applyFont="1" applyFill="1" applyBorder="1" applyAlignment="1">
      <alignment vertical="center"/>
    </xf>
    <xf numFmtId="0" fontId="45" fillId="0" borderId="117" xfId="0" applyFont="1" applyFill="1" applyBorder="1" applyAlignment="1">
      <alignment horizontal="left" vertical="center" wrapText="1"/>
    </xf>
    <xf numFmtId="0" fontId="45" fillId="0" borderId="78" xfId="0" applyFont="1" applyFill="1" applyBorder="1" applyAlignment="1">
      <alignment horizontal="left" vertical="center"/>
    </xf>
    <xf numFmtId="0" fontId="45" fillId="0" borderId="73" xfId="0" applyFont="1" applyFill="1" applyBorder="1" applyAlignment="1">
      <alignment horizontal="left" vertical="center"/>
    </xf>
    <xf numFmtId="3" fontId="45" fillId="0" borderId="73" xfId="47" applyNumberFormat="1" applyFont="1" applyFill="1" applyBorder="1" applyAlignment="1">
      <alignment horizontal="right" vertical="center"/>
    </xf>
    <xf numFmtId="3" fontId="45" fillId="0" borderId="74" xfId="47" applyNumberFormat="1" applyFont="1" applyFill="1" applyBorder="1" applyAlignment="1">
      <alignment vertical="center"/>
    </xf>
    <xf numFmtId="0" fontId="45" fillId="0" borderId="61" xfId="0" applyFont="1" applyFill="1" applyBorder="1" applyAlignment="1">
      <alignment horizontal="left" vertical="center" wrapText="1"/>
    </xf>
    <xf numFmtId="4" fontId="45" fillId="0" borderId="64" xfId="47" applyNumberFormat="1" applyFont="1" applyFill="1" applyBorder="1" applyAlignment="1">
      <alignment horizontal="right" vertical="center"/>
    </xf>
    <xf numFmtId="4" fontId="45" fillId="0" borderId="70" xfId="47" applyNumberFormat="1" applyFont="1" applyFill="1" applyBorder="1" applyAlignment="1">
      <alignment vertical="center"/>
    </xf>
    <xf numFmtId="0" fontId="45" fillId="0" borderId="177" xfId="0" applyFont="1" applyFill="1" applyBorder="1" applyAlignment="1">
      <alignment horizontal="left" vertical="center"/>
    </xf>
    <xf numFmtId="0" fontId="45" fillId="0" borderId="179" xfId="0" applyFont="1" applyFill="1" applyBorder="1" applyAlignment="1">
      <alignment horizontal="left" vertical="center" wrapText="1"/>
    </xf>
    <xf numFmtId="4" fontId="45" fillId="0" borderId="65" xfId="47" applyNumberFormat="1" applyFont="1" applyFill="1" applyBorder="1" applyAlignment="1">
      <alignment horizontal="right" vertical="center"/>
    </xf>
    <xf numFmtId="3" fontId="45" fillId="0" borderId="179" xfId="47" applyNumberFormat="1" applyFont="1" applyFill="1" applyBorder="1" applyAlignment="1">
      <alignment vertical="center"/>
    </xf>
    <xf numFmtId="4" fontId="45" fillId="0" borderId="71" xfId="47" applyNumberFormat="1" applyFont="1" applyFill="1" applyBorder="1" applyAlignment="1">
      <alignment vertical="center"/>
    </xf>
    <xf numFmtId="0" fontId="45" fillId="0" borderId="178" xfId="0" applyFont="1" applyFill="1" applyBorder="1" applyAlignment="1">
      <alignment horizontal="left" vertical="center"/>
    </xf>
    <xf numFmtId="0" fontId="45" fillId="0" borderId="180" xfId="0" applyFont="1" applyFill="1" applyBorder="1" applyAlignment="1">
      <alignment horizontal="left" vertical="center" wrapText="1"/>
    </xf>
    <xf numFmtId="4" fontId="45" fillId="0" borderId="181" xfId="47" applyNumberFormat="1" applyFont="1" applyFill="1" applyBorder="1" applyAlignment="1">
      <alignment horizontal="right" vertical="center"/>
    </xf>
    <xf numFmtId="3" fontId="45" fillId="0" borderId="180" xfId="47" applyNumberFormat="1" applyFont="1" applyFill="1" applyBorder="1" applyAlignment="1">
      <alignment vertical="center"/>
    </xf>
    <xf numFmtId="4" fontId="45" fillId="0" borderId="182" xfId="47" applyNumberFormat="1" applyFont="1" applyFill="1" applyBorder="1" applyAlignment="1">
      <alignment vertical="center"/>
    </xf>
    <xf numFmtId="0" fontId="45" fillId="0" borderId="41" xfId="0" applyFont="1" applyFill="1" applyBorder="1" applyAlignment="1">
      <alignment horizontal="left" vertical="center"/>
    </xf>
    <xf numFmtId="0" fontId="45" fillId="0" borderId="40" xfId="0" applyFont="1" applyFill="1" applyBorder="1" applyAlignment="1">
      <alignment horizontal="left" vertical="center"/>
    </xf>
    <xf numFmtId="3" fontId="23" fillId="0" borderId="52" xfId="49" applyNumberFormat="1" applyFont="1" applyFill="1" applyBorder="1" applyAlignment="1">
      <alignment horizontal="left" vertical="center" wrapText="1"/>
    </xf>
    <xf numFmtId="3" fontId="45" fillId="0" borderId="76" xfId="47" applyNumberFormat="1" applyFont="1" applyFill="1" applyBorder="1" applyAlignment="1">
      <alignment vertical="center"/>
    </xf>
    <xf numFmtId="3" fontId="45" fillId="0" borderId="105" xfId="47" applyNumberFormat="1" applyFont="1" applyFill="1" applyBorder="1" applyAlignment="1">
      <alignment vertical="center"/>
    </xf>
    <xf numFmtId="3" fontId="45" fillId="0" borderId="106" xfId="47" applyNumberFormat="1" applyFont="1" applyFill="1" applyBorder="1" applyAlignment="1">
      <alignment vertical="center"/>
    </xf>
    <xf numFmtId="0" fontId="45" fillId="0" borderId="61" xfId="0" applyFont="1" applyFill="1" applyBorder="1" applyAlignment="1">
      <alignment horizontal="center" vertical="center"/>
    </xf>
    <xf numFmtId="3" fontId="45" fillId="0" borderId="64" xfId="47" applyNumberFormat="1" applyFont="1" applyFill="1" applyBorder="1" applyAlignment="1">
      <alignment vertical="top"/>
    </xf>
    <xf numFmtId="3" fontId="45" fillId="0" borderId="61" xfId="47" applyNumberFormat="1" applyFont="1" applyFill="1" applyBorder="1" applyAlignment="1">
      <alignment vertical="top"/>
    </xf>
    <xf numFmtId="0" fontId="45" fillId="0" borderId="97" xfId="0" applyFont="1" applyFill="1" applyBorder="1" applyAlignment="1">
      <alignment horizontal="center" vertical="center"/>
    </xf>
    <xf numFmtId="3" fontId="23" fillId="0" borderId="65" xfId="49" applyNumberFormat="1" applyFont="1" applyFill="1" applyBorder="1" applyAlignment="1">
      <alignment horizontal="left" vertical="center" wrapText="1"/>
    </xf>
    <xf numFmtId="3" fontId="45" fillId="0" borderId="97" xfId="47" applyNumberFormat="1" applyFont="1" applyFill="1" applyBorder="1" applyAlignment="1">
      <alignment horizontal="right" vertical="top"/>
    </xf>
    <xf numFmtId="3" fontId="45" fillId="0" borderId="65" xfId="47" applyNumberFormat="1" applyFont="1" applyFill="1" applyBorder="1" applyAlignment="1">
      <alignment vertical="top"/>
    </xf>
    <xf numFmtId="3" fontId="45" fillId="0" borderId="97" xfId="47" applyNumberFormat="1" applyFont="1" applyFill="1" applyBorder="1" applyAlignment="1">
      <alignment vertical="top"/>
    </xf>
    <xf numFmtId="3" fontId="39" fillId="0" borderId="50" xfId="0" applyNumberFormat="1" applyFont="1" applyFill="1" applyBorder="1" applyAlignment="1">
      <alignment horizontal="left" vertical="center" wrapText="1"/>
    </xf>
    <xf numFmtId="3" fontId="45" fillId="0" borderId="99" xfId="47" applyNumberFormat="1" applyFont="1" applyFill="1" applyBorder="1" applyAlignment="1">
      <alignment horizontal="right" vertical="center"/>
    </xf>
    <xf numFmtId="3" fontId="45" fillId="0" borderId="70" xfId="47" applyNumberFormat="1" applyFont="1" applyFill="1" applyBorder="1" applyAlignment="1">
      <alignment vertical="top"/>
    </xf>
    <xf numFmtId="3" fontId="45" fillId="0" borderId="71" xfId="47" applyNumberFormat="1" applyFont="1" applyFill="1" applyBorder="1" applyAlignment="1">
      <alignment vertical="top"/>
    </xf>
    <xf numFmtId="0" fontId="45" fillId="0" borderId="81" xfId="0" applyFont="1" applyFill="1" applyBorder="1" applyAlignment="1">
      <alignment horizontal="center" vertical="center"/>
    </xf>
    <xf numFmtId="0" fontId="45" fillId="0" borderId="82" xfId="0" applyFont="1" applyFill="1" applyBorder="1" applyAlignment="1">
      <alignment horizontal="center" vertical="center"/>
    </xf>
    <xf numFmtId="3" fontId="39" fillId="0" borderId="80" xfId="0" applyNumberFormat="1" applyFont="1" applyFill="1" applyBorder="1" applyAlignment="1">
      <alignment horizontal="left" vertical="center" wrapText="1"/>
    </xf>
    <xf numFmtId="3" fontId="45" fillId="0" borderId="63" xfId="47" applyNumberFormat="1" applyFont="1" applyFill="1" applyBorder="1" applyAlignment="1">
      <alignment vertical="center"/>
    </xf>
    <xf numFmtId="3" fontId="45" fillId="0" borderId="72" xfId="47" applyNumberFormat="1" applyFont="1" applyFill="1" applyBorder="1" applyAlignment="1">
      <alignment vertical="center"/>
    </xf>
    <xf numFmtId="0" fontId="45" fillId="0" borderId="127" xfId="0" applyFont="1" applyFill="1" applyBorder="1" applyAlignment="1">
      <alignment horizontal="center" vertical="center"/>
    </xf>
    <xf numFmtId="3" fontId="21" fillId="0" borderId="126" xfId="0" applyNumberFormat="1" applyFont="1" applyFill="1" applyBorder="1" applyAlignment="1">
      <alignment horizontal="left" vertical="center" wrapText="1"/>
    </xf>
    <xf numFmtId="3" fontId="45" fillId="0" borderId="126" xfId="47" applyNumberFormat="1" applyFont="1" applyFill="1" applyBorder="1" applyAlignment="1">
      <alignment vertical="center"/>
    </xf>
    <xf numFmtId="3" fontId="39" fillId="0" borderId="126" xfId="0" applyNumberFormat="1" applyFont="1" applyFill="1" applyBorder="1" applyAlignment="1">
      <alignment horizontal="left" vertical="center" wrapText="1"/>
    </xf>
    <xf numFmtId="0" fontId="45" fillId="0" borderId="138" xfId="0" applyFont="1" applyFill="1" applyBorder="1" applyAlignment="1">
      <alignment horizontal="center" vertical="center"/>
    </xf>
    <xf numFmtId="3" fontId="39" fillId="0" borderId="139" xfId="0" applyNumberFormat="1" applyFont="1" applyFill="1" applyBorder="1" applyAlignment="1">
      <alignment horizontal="left" vertical="center" wrapText="1"/>
    </xf>
    <xf numFmtId="3" fontId="45" fillId="0" borderId="139" xfId="47" applyNumberFormat="1" applyFont="1" applyFill="1" applyBorder="1" applyAlignment="1">
      <alignment vertical="center"/>
    </xf>
    <xf numFmtId="0" fontId="45" fillId="0" borderId="128" xfId="0" applyFont="1" applyFill="1" applyBorder="1" applyAlignment="1">
      <alignment horizontal="center" vertical="center"/>
    </xf>
    <xf numFmtId="3" fontId="39" fillId="0" borderId="129" xfId="0" applyNumberFormat="1" applyFont="1" applyFill="1" applyBorder="1" applyAlignment="1">
      <alignment horizontal="left" vertical="center" wrapText="1"/>
    </xf>
    <xf numFmtId="3" fontId="45" fillId="0" borderId="130" xfId="47" applyNumberFormat="1" applyFont="1" applyFill="1" applyBorder="1" applyAlignment="1">
      <alignment horizontal="right" vertical="center"/>
    </xf>
    <xf numFmtId="3" fontId="45" fillId="0" borderId="129" xfId="47" applyNumberFormat="1" applyFont="1" applyFill="1" applyBorder="1" applyAlignment="1">
      <alignment vertical="center"/>
    </xf>
    <xf numFmtId="3" fontId="45" fillId="0" borderId="131" xfId="47" applyNumberFormat="1" applyFont="1" applyFill="1" applyBorder="1" applyAlignment="1">
      <alignment vertical="center"/>
    </xf>
    <xf numFmtId="0" fontId="45" fillId="0" borderId="68" xfId="0" applyFont="1" applyFill="1" applyBorder="1" applyAlignment="1">
      <alignment horizontal="center" vertical="center"/>
    </xf>
    <xf numFmtId="3" fontId="23" fillId="0" borderId="62" xfId="49" applyNumberFormat="1" applyFont="1" applyFill="1" applyBorder="1" applyAlignment="1">
      <alignment horizontal="left" vertical="center" wrapText="1"/>
    </xf>
    <xf numFmtId="0" fontId="45" fillId="0" borderId="67" xfId="0" applyFont="1" applyFill="1" applyBorder="1" applyAlignment="1">
      <alignment horizontal="center"/>
    </xf>
    <xf numFmtId="3" fontId="45" fillId="0" borderId="64" xfId="0" applyNumberFormat="1" applyFont="1" applyFill="1" applyBorder="1"/>
    <xf numFmtId="3" fontId="45" fillId="0" borderId="61" xfId="0" applyNumberFormat="1" applyFont="1" applyFill="1" applyBorder="1"/>
    <xf numFmtId="3" fontId="45" fillId="0" borderId="70" xfId="0" applyNumberFormat="1" applyFont="1" applyFill="1" applyBorder="1"/>
    <xf numFmtId="3" fontId="65" fillId="0" borderId="70" xfId="47" applyNumberFormat="1" applyFont="1" applyFill="1" applyBorder="1" applyAlignment="1">
      <alignment vertical="center"/>
    </xf>
    <xf numFmtId="0" fontId="65" fillId="0" borderId="123" xfId="0" applyFont="1" applyFill="1" applyBorder="1" applyAlignment="1">
      <alignment horizontal="center" vertical="center"/>
    </xf>
    <xf numFmtId="3" fontId="65" fillId="0" borderId="122" xfId="47" applyNumberFormat="1" applyFont="1" applyFill="1" applyBorder="1" applyAlignment="1">
      <alignment vertical="center"/>
    </xf>
    <xf numFmtId="3" fontId="65" fillId="0" borderId="71" xfId="47" applyNumberFormat="1" applyFont="1" applyFill="1" applyBorder="1" applyAlignment="1">
      <alignment vertical="center"/>
    </xf>
    <xf numFmtId="3" fontId="65" fillId="0" borderId="73" xfId="47" applyNumberFormat="1" applyFont="1" applyFill="1" applyBorder="1" applyAlignment="1">
      <alignment vertical="center"/>
    </xf>
    <xf numFmtId="3" fontId="65" fillId="0" borderId="79" xfId="47" applyNumberFormat="1" applyFont="1" applyFill="1" applyBorder="1" applyAlignment="1">
      <alignment vertical="center"/>
    </xf>
    <xf numFmtId="0" fontId="65" fillId="0" borderId="118" xfId="0" applyFont="1" applyFill="1" applyBorder="1" applyAlignment="1">
      <alignment horizontal="center" vertical="center"/>
    </xf>
    <xf numFmtId="3" fontId="65" fillId="0" borderId="120" xfId="47" applyNumberFormat="1" applyFont="1" applyFill="1" applyBorder="1" applyAlignment="1">
      <alignment horizontal="right" vertical="center"/>
    </xf>
    <xf numFmtId="3" fontId="65" fillId="0" borderId="119" xfId="47" applyNumberFormat="1" applyFont="1" applyFill="1" applyBorder="1" applyAlignment="1">
      <alignment vertical="center"/>
    </xf>
    <xf numFmtId="3" fontId="65" fillId="0" borderId="121" xfId="47" applyNumberFormat="1" applyFont="1" applyFill="1" applyBorder="1" applyAlignment="1">
      <alignment vertical="center"/>
    </xf>
    <xf numFmtId="4" fontId="45" fillId="0" borderId="0" xfId="0" applyNumberFormat="1" applyFont="1" applyFill="1" applyAlignment="1">
      <alignment wrapText="1"/>
    </xf>
  </cellXfs>
  <cellStyles count="62">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Calculation 2" xfId="27"/>
    <cellStyle name="Calculation 3" xfId="52"/>
    <cellStyle name="Calculation 4" xfId="57"/>
    <cellStyle name="Check Cell 2" xfId="28"/>
    <cellStyle name="Comma" xfId="47" builtinId="3"/>
    <cellStyle name="Comma 2" xfId="29"/>
    <cellStyle name="Comma 3" xfId="50"/>
    <cellStyle name="Explanatory Text 2" xfId="30"/>
    <cellStyle name="Good 2" xfId="31"/>
    <cellStyle name="Heading 1 2" xfId="32"/>
    <cellStyle name="Heading 2 2" xfId="33"/>
    <cellStyle name="Heading 3 2" xfId="34"/>
    <cellStyle name="Heading 4 2" xfId="35"/>
    <cellStyle name="Input 2" xfId="36"/>
    <cellStyle name="Input 3" xfId="53"/>
    <cellStyle name="Input 4" xfId="58"/>
    <cellStyle name="Linked Cell 2" xfId="37"/>
    <cellStyle name="Neutral 2" xfId="38"/>
    <cellStyle name="Normal" xfId="0" builtinId="0"/>
    <cellStyle name="Normal 2" xfId="1"/>
    <cellStyle name="Normal 2 2" xfId="51"/>
    <cellStyle name="Normal 3" xfId="46"/>
    <cellStyle name="Normal_Расходи по корисницима" xfId="49"/>
    <cellStyle name="Note 2" xfId="39"/>
    <cellStyle name="Note 3" xfId="54"/>
    <cellStyle name="Note 4" xfId="59"/>
    <cellStyle name="Output 2" xfId="40"/>
    <cellStyle name="Output 3" xfId="55"/>
    <cellStyle name="Output 4" xfId="60"/>
    <cellStyle name="Percent" xfId="48" builtinId="5"/>
    <cellStyle name="Percent 2" xfId="41"/>
    <cellStyle name="Percent 3" xfId="45"/>
    <cellStyle name="Title 2" xfId="42"/>
    <cellStyle name="Total 2" xfId="43"/>
    <cellStyle name="Total 3" xfId="56"/>
    <cellStyle name="Total 4" xfId="61"/>
    <cellStyle name="Warning Text 2" xfId="44"/>
  </cellStyles>
  <dxfs count="7">
    <dxf>
      <fill>
        <patternFill patternType="solid">
          <fgColor indexed="60"/>
          <bgColor indexed="10"/>
        </patternFill>
      </fill>
    </dxf>
    <dxf>
      <fill>
        <patternFill>
          <bgColor theme="5" tint="0.59996337778862885"/>
        </patternFill>
      </fill>
    </dxf>
    <dxf>
      <fill>
        <patternFill>
          <bgColor theme="5" tint="0.59996337778862885"/>
        </patternFill>
      </fill>
    </dxf>
    <dxf>
      <fill>
        <patternFill patternType="solid">
          <fgColor indexed="60"/>
          <bgColor indexed="1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E41AA1"/>
      <color rgb="FFFF5050"/>
      <color rgb="FF66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lang="en-GB"/>
            </a:pPr>
            <a:r>
              <a:rPr lang="x-none"/>
              <a:t>Струтура</a:t>
            </a:r>
            <a:r>
              <a:rPr lang="x-none" baseline="0"/>
              <a:t> буџета по економској класификацији </a:t>
            </a:r>
            <a:endParaRPr lang="en-US"/>
          </a:p>
        </c:rich>
      </c:tx>
      <c:layout>
        <c:manualLayout>
          <c:xMode val="edge"/>
          <c:yMode val="edge"/>
          <c:x val="0.15640950466299594"/>
          <c:y val="1.8720742697559203E-2"/>
        </c:manualLayout>
      </c:layout>
    </c:title>
    <c:plotArea>
      <c:layout/>
      <c:pieChart>
        <c:varyColors val="1"/>
        <c:ser>
          <c:idx val="0"/>
          <c:order val="0"/>
          <c:dLbls>
            <c:dLbl>
              <c:idx val="0"/>
              <c:layout>
                <c:manualLayout>
                  <c:x val="-2.5718398103462874E-2"/>
                  <c:y val="7.9719899690886734E-2"/>
                </c:manualLayout>
              </c:layout>
              <c:dLblPos val="bestFit"/>
              <c:showPercent val="1"/>
            </c:dLbl>
            <c:dLbl>
              <c:idx val="12"/>
              <c:layout>
                <c:manualLayout>
                  <c:x val="4.6690835199852045E-2"/>
                  <c:y val="6.1201760306686059E-2"/>
                </c:manualLayout>
              </c:layout>
              <c:dLblPos val="bestFit"/>
              <c:showPercent val="1"/>
            </c:dLbl>
            <c:txPr>
              <a:bodyPr/>
              <a:lstStyle/>
              <a:p>
                <a:pPr>
                  <a:defRPr lang="en-GB"/>
                </a:pPr>
                <a:endParaRPr lang="en-US"/>
              </a:p>
            </c:txPr>
            <c:dLblPos val="bestFit"/>
            <c:showPercent val="1"/>
            <c:showLeaderLines val="1"/>
          </c:dLbls>
          <c:cat>
            <c:multiLvlStrRef>
              <c:f>('По основ. нам.'!$A$6:$B$6,'По основ. нам.'!$A$15:$B$15,'По основ. нам.'!$A$22:$B$22,'По основ. нам.'!$A$28:$B$28,'По основ. нам.'!$A$33:$B$33,'По основ. нам.'!$A$39:$B$39,'По основ. нам.'!$A$46:$B$46,'По основ. нам.'!$A$48:$B$48,'По основ. нам.'!$A$55:$B$55,'По основ. нам.'!$A$63:$B$63,'По основ. нам.'!$A$69:$B$69,'По основ. нам.'!$A$74:$B$74,'По основ. нам.'!$A$80:$B$80,'По основ. нам.'!#REF!)</c:f>
            </c:multiLvlStrRef>
          </c:cat>
          <c:val>
            <c:numRef>
              <c:f>('По основ. нам.'!$C$6,'По основ. нам.'!$C$15,'По основ. нам.'!$C$22,'По основ. нам.'!$C$28,'По основ. нам.'!$C$33,'По основ. нам.'!$C$39,'По основ. нам.'!$C$46,'По основ. нам.'!$C$48,'По основ. нам.'!$C$55,'По основ. нам.'!$C$63,'По основ. нам.'!$C$69,'По основ. нам.'!$C$74,'По основ. нам.'!$C$80,'По основ. нам.'!#REF!)</c:f>
              <c:numCache>
                <c:formatCode>General</c:formatCode>
                <c:ptCount val="1"/>
                <c:pt idx="0">
                  <c:v>1</c:v>
                </c:pt>
              </c:numCache>
            </c:numRef>
          </c:val>
        </c:ser>
        <c:dLbls>
          <c:showVal val="1"/>
        </c:dLbls>
        <c:firstSliceAng val="0"/>
      </c:pieChart>
    </c:plotArea>
    <c:legend>
      <c:legendPos val="r"/>
      <c:txPr>
        <a:bodyPr/>
        <a:lstStyle/>
        <a:p>
          <a:pPr>
            <a:defRPr lang="en-GB"/>
          </a:pPr>
          <a:endParaRPr lang="en-US"/>
        </a:p>
      </c:txPr>
    </c:legend>
    <c:plotVisOnly val="1"/>
    <c:dispBlanksAs val="zero"/>
  </c:chart>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lang="en-GB"/>
            </a:pPr>
            <a:r>
              <a:rPr lang="x-none"/>
              <a:t>Структура</a:t>
            </a:r>
            <a:r>
              <a:rPr lang="x-none" baseline="0"/>
              <a:t> буџета по програмској класификацији</a:t>
            </a:r>
            <a:endParaRPr lang="en-US"/>
          </a:p>
        </c:rich>
      </c:tx>
      <c:layout>
        <c:manualLayout>
          <c:xMode val="edge"/>
          <c:yMode val="edge"/>
          <c:x val="8.8610279348884768E-2"/>
          <c:y val="1.6309885251290287E-2"/>
        </c:manualLayout>
      </c:layout>
      <c:overlay val="1"/>
    </c:title>
    <c:plotArea>
      <c:layout>
        <c:manualLayout>
          <c:layoutTarget val="inner"/>
          <c:xMode val="edge"/>
          <c:yMode val="edge"/>
          <c:x val="0.18287573282311673"/>
          <c:y val="0.33976797903992523"/>
          <c:w val="0.43954460715779187"/>
          <c:h val="0.57530599897164247"/>
        </c:manualLayout>
      </c:layout>
      <c:pieChart>
        <c:varyColors val="1"/>
        <c:ser>
          <c:idx val="0"/>
          <c:order val="0"/>
          <c:dLbls>
            <c:dLbl>
              <c:idx val="0"/>
              <c:layout>
                <c:manualLayout>
                  <c:x val="-0.31775700934579437"/>
                  <c:y val="-5.0968391410276932E-2"/>
                </c:manualLayout>
              </c:layout>
              <c:dLblPos val="bestFit"/>
              <c:showCatName val="1"/>
              <c:showPercent val="1"/>
            </c:dLbl>
            <c:dLbl>
              <c:idx val="1"/>
              <c:layout>
                <c:manualLayout>
                  <c:x val="-0.15420560747663944"/>
                  <c:y val="-0.14678896726159771"/>
                </c:manualLayout>
              </c:layout>
              <c:dLblPos val="bestFit"/>
              <c:showCatName val="1"/>
              <c:showPercent val="1"/>
            </c:dLbl>
            <c:dLbl>
              <c:idx val="2"/>
              <c:layout>
                <c:manualLayout>
                  <c:x val="-5.763239875389408E-2"/>
                  <c:y val="-0.20591230129753718"/>
                </c:manualLayout>
              </c:layout>
              <c:dLblPos val="bestFit"/>
              <c:showCatName val="1"/>
              <c:showPercent val="1"/>
            </c:dLbl>
            <c:dLbl>
              <c:idx val="3"/>
              <c:layout>
                <c:manualLayout>
                  <c:x val="3.8940809968847349E-2"/>
                  <c:y val="-0.30784908411807282"/>
                </c:manualLayout>
              </c:layout>
              <c:dLblPos val="bestFit"/>
              <c:showCatName val="1"/>
              <c:showPercent val="1"/>
            </c:dLbl>
            <c:dLbl>
              <c:idx val="4"/>
              <c:layout>
                <c:manualLayout>
                  <c:x val="6.0747663551402133E-2"/>
                  <c:y val="-0.26707437098990194"/>
                </c:manualLayout>
              </c:layout>
              <c:dLblPos val="bestFit"/>
              <c:showCatName val="1"/>
              <c:showPercent val="1"/>
            </c:dLbl>
            <c:dLbl>
              <c:idx val="5"/>
              <c:layout>
                <c:manualLayout>
                  <c:x val="7.1651090342679108E-2"/>
                  <c:y val="-0.23649349667405944"/>
                </c:manualLayout>
              </c:layout>
              <c:dLblPos val="bestFit"/>
              <c:showCatName val="1"/>
              <c:showPercent val="1"/>
            </c:dLbl>
            <c:dLbl>
              <c:idx val="6"/>
              <c:layout>
                <c:manualLayout>
                  <c:x val="0.10280373831775701"/>
                  <c:y val="-0.24464827876934292"/>
                </c:manualLayout>
              </c:layout>
              <c:dLblPos val="bestFit"/>
              <c:showCatName val="1"/>
              <c:showPercent val="1"/>
            </c:dLbl>
            <c:dLbl>
              <c:idx val="7"/>
              <c:layout>
                <c:manualLayout>
                  <c:x val="0.14330218068535824"/>
                  <c:y val="-0.21610597957957411"/>
                </c:manualLayout>
              </c:layout>
              <c:dLblPos val="bestFit"/>
              <c:showCatName val="1"/>
              <c:showPercent val="1"/>
            </c:dLbl>
            <c:dLbl>
              <c:idx val="8"/>
              <c:layout>
                <c:manualLayout>
                  <c:x val="0.14018691588785046"/>
                  <c:y val="-0.13455655332313102"/>
                </c:manualLayout>
              </c:layout>
              <c:dLblPos val="bestFit"/>
              <c:showCatName val="1"/>
              <c:showPercent val="1"/>
            </c:dLbl>
            <c:dLbl>
              <c:idx val="9"/>
              <c:layout>
                <c:manualLayout>
                  <c:x val="0.12305295950155763"/>
                  <c:y val="-3.6697241815401092E-2"/>
                </c:manualLayout>
              </c:layout>
              <c:dLblPos val="bestFit"/>
              <c:showCatName val="1"/>
              <c:showPercent val="1"/>
            </c:dLbl>
            <c:dLbl>
              <c:idx val="10"/>
              <c:layout>
                <c:manualLayout>
                  <c:x val="0.12616822429906538"/>
                  <c:y val="3.8735977471815827E-2"/>
                </c:manualLayout>
              </c:layout>
              <c:dLblPos val="bestFit"/>
              <c:showCatName val="1"/>
              <c:showPercent val="1"/>
            </c:dLbl>
            <c:dLbl>
              <c:idx val="11"/>
              <c:layout>
                <c:manualLayout>
                  <c:x val="0.20404984423676994"/>
                  <c:y val="0.11009172544621082"/>
                </c:manualLayout>
              </c:layout>
              <c:dLblPos val="bestFit"/>
              <c:showCatName val="1"/>
              <c:showPercent val="1"/>
            </c:dLbl>
            <c:dLbl>
              <c:idx val="12"/>
              <c:layout>
                <c:manualLayout>
                  <c:x val="1.2461059190031223E-2"/>
                  <c:y val="0.12232413938466463"/>
                </c:manualLayout>
              </c:layout>
              <c:dLblPos val="bestFit"/>
              <c:showCatName val="1"/>
              <c:showPercent val="1"/>
            </c:dLbl>
            <c:dLbl>
              <c:idx val="13"/>
              <c:layout>
                <c:manualLayout>
                  <c:x val="-0.15264797507788191"/>
                  <c:y val="3.7579356180126255E-2"/>
                </c:manualLayout>
              </c:layout>
              <c:dLblPos val="bestFit"/>
              <c:showCatName val="1"/>
              <c:showPercent val="1"/>
            </c:dLbl>
            <c:dLbl>
              <c:idx val="14"/>
              <c:layout>
                <c:manualLayout>
                  <c:x val="-1.401869158878505E-2"/>
                  <c:y val="7.951069060004029E-2"/>
                </c:manualLayout>
              </c:layout>
              <c:dLblPos val="bestFit"/>
              <c:showCatName val="1"/>
              <c:showPercent val="1"/>
            </c:dLbl>
            <c:txPr>
              <a:bodyPr/>
              <a:lstStyle/>
              <a:p>
                <a:pPr>
                  <a:defRPr lang="en-GB" sz="900"/>
                </a:pPr>
                <a:endParaRPr lang="en-US"/>
              </a:p>
            </c:txPr>
            <c:dLblPos val="outEnd"/>
            <c:showCatName val="1"/>
            <c:showPercent val="1"/>
            <c:showLeaderLines val="1"/>
          </c:dLbls>
          <c:cat>
            <c:strRef>
              <c:f>Програмска!$A$347:$A$361</c:f>
              <c:strCache>
                <c:ptCount val="15"/>
                <c:pt idx="0">
                  <c:v>Програм 1.  Локални развој и просторно планирање</c:v>
                </c:pt>
                <c:pt idx="1">
                  <c:v>Програм 2.  Комунална делатност</c:v>
                </c:pt>
                <c:pt idx="2">
                  <c:v>Програм 3.  Локални економски развој</c:v>
                </c:pt>
                <c:pt idx="3">
                  <c:v>Програм 4.  Развој туризма</c:v>
                </c:pt>
                <c:pt idx="4">
                  <c:v>Програм 5.  Развој пољопривреде</c:v>
                </c:pt>
                <c:pt idx="5">
                  <c:v>Програм 6.  Заштита животне средине</c:v>
                </c:pt>
                <c:pt idx="6">
                  <c:v>Програм 7.  Путна инфраструктура</c:v>
                </c:pt>
                <c:pt idx="7">
                  <c:v>Програм 8.  Предшколско васпитање</c:v>
                </c:pt>
                <c:pt idx="8">
                  <c:v>Програм 9.  Основно образовање</c:v>
                </c:pt>
                <c:pt idx="9">
                  <c:v>Програм 10. Средње образовање</c:v>
                </c:pt>
                <c:pt idx="10">
                  <c:v>Програм 11.  Социјална  и дечја заштита</c:v>
                </c:pt>
                <c:pt idx="11">
                  <c:v>Програм 12.  Примарна здравствена заштита</c:v>
                </c:pt>
                <c:pt idx="12">
                  <c:v>Програм 13.  Развој културе</c:v>
                </c:pt>
                <c:pt idx="13">
                  <c:v>Програм 14.  Развој спорта и омладине</c:v>
                </c:pt>
                <c:pt idx="14">
                  <c:v>Програм 15.  Локална самоуправа</c:v>
                </c:pt>
              </c:strCache>
            </c:strRef>
          </c:cat>
          <c:val>
            <c:numRef>
              <c:f>Програмска!$B$347:$B$361</c:f>
              <c:numCache>
                <c:formatCode>General</c:formatCode>
                <c:ptCount val="15"/>
                <c:pt idx="0">
                  <c:v>7700000</c:v>
                </c:pt>
                <c:pt idx="1">
                  <c:v>99270000</c:v>
                </c:pt>
                <c:pt idx="2">
                  <c:v>25080000</c:v>
                </c:pt>
                <c:pt idx="3">
                  <c:v>8000000</c:v>
                </c:pt>
                <c:pt idx="4">
                  <c:v>26900000</c:v>
                </c:pt>
                <c:pt idx="5">
                  <c:v>38030000</c:v>
                </c:pt>
                <c:pt idx="6">
                  <c:v>104100000</c:v>
                </c:pt>
                <c:pt idx="7">
                  <c:v>76150000</c:v>
                </c:pt>
                <c:pt idx="8">
                  <c:v>66000000</c:v>
                </c:pt>
                <c:pt idx="9">
                  <c:v>22500000</c:v>
                </c:pt>
                <c:pt idx="10">
                  <c:v>58710000</c:v>
                </c:pt>
                <c:pt idx="11">
                  <c:v>14000000</c:v>
                </c:pt>
                <c:pt idx="12">
                  <c:v>30400000</c:v>
                </c:pt>
                <c:pt idx="13">
                  <c:v>57460000</c:v>
                </c:pt>
                <c:pt idx="14">
                  <c:v>160880000</c:v>
                </c:pt>
              </c:numCache>
            </c:numRef>
          </c:val>
        </c:ser>
        <c:firstSliceAng val="0"/>
      </c:pieChart>
    </c:plotArea>
    <c:plotVisOnly val="1"/>
    <c:dispBlanksAs val="zero"/>
  </c:chart>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lang="en-GB"/>
            </a:pPr>
            <a:r>
              <a:rPr lang="x-none"/>
              <a:t>Структура буџета по функционалној класификацији</a:t>
            </a:r>
            <a:endParaRPr lang="en-US"/>
          </a:p>
        </c:rich>
      </c:tx>
      <c:layout/>
    </c:title>
    <c:plotArea>
      <c:layout/>
      <c:pieChart>
        <c:varyColors val="1"/>
        <c:ser>
          <c:idx val="0"/>
          <c:order val="0"/>
          <c:dLbls>
            <c:txPr>
              <a:bodyPr/>
              <a:lstStyle/>
              <a:p>
                <a:pPr>
                  <a:defRPr lang="en-GB"/>
                </a:pPr>
                <a:endParaRPr lang="en-US"/>
              </a:p>
            </c:txPr>
            <c:dLblPos val="bestFit"/>
            <c:showPercent val="1"/>
            <c:showLeaderLines val="1"/>
          </c:dLbls>
          <c:cat>
            <c:multiLvlStrRef>
              <c:f>('Расх по функц. '!$A$4:$B$4,'Расх по функц. '!$A$14:$B$14,'Расх по функц. '!$A$31:$B$31,'Расх по функц. '!$A$35:$B$35,'Расх по функц. '!$A$54:$B$54,'Расх по функц. '!$A$61:$B$61,'Расх по функц. '!$A$68:$B$68,'Расх по функц. '!$A$72:$B$72,'Расх по функц. '!$A$78:$B$78)</c:f>
              <c:multiLvlStrCache>
                <c:ptCount val="9"/>
                <c:lvl>
                  <c:pt idx="0">
                    <c:v>СОЦИЈАЛНА ЗАШТИТА</c:v>
                  </c:pt>
                  <c:pt idx="1">
                    <c:v>ОПШТЕ ЈАВНЕ УСЛУГЕ</c:v>
                  </c:pt>
                  <c:pt idx="2">
                    <c:v>ЈАВНИ РЕД И БЕЗБЕДНОСТ</c:v>
                  </c:pt>
                  <c:pt idx="3">
                    <c:v>ЕКОНОМСКИ ПОСЛОВИ</c:v>
                  </c:pt>
                  <c:pt idx="4">
                    <c:v>ЗАШТИТА ЖИВОТНЕ СРЕДИНЕ</c:v>
                  </c:pt>
                  <c:pt idx="5">
                    <c:v>ПОСЛОВИ СТАНОВАЊА И ЗАЈЕДНИЦЕ</c:v>
                  </c:pt>
                  <c:pt idx="6">
                    <c:v>ЗДРАВСТВО</c:v>
                  </c:pt>
                  <c:pt idx="7">
                    <c:v>РЕКРЕАЦИЈА, СПОРТ, КУЛТУРА И ВЕРЕ</c:v>
                  </c:pt>
                  <c:pt idx="8">
                    <c:v>ОБРАЗОВАЊЕ</c:v>
                  </c:pt>
                </c:lvl>
                <c:lvl>
                  <c:pt idx="0">
                    <c:v>000</c:v>
                  </c:pt>
                  <c:pt idx="1">
                    <c:v>100</c:v>
                  </c:pt>
                  <c:pt idx="2">
                    <c:v>300</c:v>
                  </c:pt>
                  <c:pt idx="3">
                    <c:v>400</c:v>
                  </c:pt>
                  <c:pt idx="4">
                    <c:v>500</c:v>
                  </c:pt>
                  <c:pt idx="5">
                    <c:v>600</c:v>
                  </c:pt>
                  <c:pt idx="6">
                    <c:v>700</c:v>
                  </c:pt>
                  <c:pt idx="7">
                    <c:v>800</c:v>
                  </c:pt>
                  <c:pt idx="8">
                    <c:v>900</c:v>
                  </c:pt>
                </c:lvl>
              </c:multiLvlStrCache>
            </c:multiLvlStrRef>
          </c:cat>
          <c:val>
            <c:numRef>
              <c:f>('Расх по функц. '!$C$4,'Расх по функц. '!$C$14,'Расх по функц. '!$C$31,'Расх по функц. '!$C$35,'Расх по функц. '!$C$54,'Расх по функц. '!$C$61,'Расх по функц. '!$C$68,'Расх по функц. '!$C$72,'Расх по функц. '!$C$78)</c:f>
              <c:numCache>
                <c:formatCode>#,##0.00</c:formatCode>
                <c:ptCount val="9"/>
                <c:pt idx="0">
                  <c:v>58710000</c:v>
                </c:pt>
                <c:pt idx="1">
                  <c:v>186300000</c:v>
                </c:pt>
                <c:pt idx="2">
                  <c:v>3100000</c:v>
                </c:pt>
                <c:pt idx="3">
                  <c:v>139000000</c:v>
                </c:pt>
                <c:pt idx="4">
                  <c:v>85150000</c:v>
                </c:pt>
                <c:pt idx="5">
                  <c:v>77230000</c:v>
                </c:pt>
                <c:pt idx="6">
                  <c:v>14000000</c:v>
                </c:pt>
                <c:pt idx="7">
                  <c:v>87860000</c:v>
                </c:pt>
                <c:pt idx="8">
                  <c:v>164650000</c:v>
                </c:pt>
              </c:numCache>
            </c:numRef>
          </c:val>
        </c:ser>
        <c:dLbls>
          <c:showVal val="1"/>
        </c:dLbls>
        <c:firstSliceAng val="0"/>
      </c:pieChart>
    </c:plotArea>
    <c:legend>
      <c:legendPos val="r"/>
      <c:layout>
        <c:manualLayout>
          <c:xMode val="edge"/>
          <c:yMode val="edge"/>
          <c:x val="0.6623343832020997"/>
          <c:y val="0.29888806299217746"/>
          <c:w val="0.32433228346460441"/>
          <c:h val="0.579183874015748"/>
        </c:manualLayout>
      </c:layout>
      <c:txPr>
        <a:bodyPr/>
        <a:lstStyle/>
        <a:p>
          <a:pPr>
            <a:defRPr lang="en-GB"/>
          </a:pPr>
          <a:endParaRPr lang="en-US"/>
        </a:p>
      </c:txPr>
    </c:legend>
    <c:plotVisOnly val="1"/>
    <c:dispBlanksAs val="zero"/>
  </c:chart>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247651</xdr:colOff>
      <xdr:row>89</xdr:row>
      <xdr:rowOff>133348</xdr:rowOff>
    </xdr:from>
    <xdr:to>
      <xdr:col>6</xdr:col>
      <xdr:colOff>57151</xdr:colOff>
      <xdr:row>121</xdr:row>
      <xdr:rowOff>142875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47625</xdr:colOff>
      <xdr:row>344</xdr:row>
      <xdr:rowOff>57149</xdr:rowOff>
    </xdr:from>
    <xdr:to>
      <xdr:col>10</xdr:col>
      <xdr:colOff>85725</xdr:colOff>
      <xdr:row>377</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523875</xdr:colOff>
      <xdr:row>1</xdr:row>
      <xdr:rowOff>276224</xdr:rowOff>
    </xdr:from>
    <xdr:to>
      <xdr:col>17</xdr:col>
      <xdr:colOff>409575</xdr:colOff>
      <xdr:row>35</xdr:row>
      <xdr:rowOff>28575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theme="1"/>
  </sheetPr>
  <dimension ref="A2:I15"/>
  <sheetViews>
    <sheetView tabSelected="1" workbookViewId="0">
      <selection activeCell="L15" sqref="L15"/>
    </sheetView>
  </sheetViews>
  <sheetFormatPr defaultRowHeight="15"/>
  <cols>
    <col min="7" max="7" width="12.85546875" customWidth="1"/>
    <col min="8" max="8" width="26.85546875" customWidth="1"/>
    <col min="9" max="9" width="20" customWidth="1"/>
  </cols>
  <sheetData>
    <row r="2" spans="1:9" ht="31.5">
      <c r="A2" s="247" t="s">
        <v>0</v>
      </c>
      <c r="B2" s="1147" t="s">
        <v>1</v>
      </c>
      <c r="C2" s="1147"/>
      <c r="D2" s="1147"/>
      <c r="E2" s="1147"/>
      <c r="F2" s="1147"/>
      <c r="G2" s="1147"/>
      <c r="H2" s="248" t="s">
        <v>2</v>
      </c>
      <c r="I2" s="248" t="s">
        <v>3</v>
      </c>
    </row>
    <row r="3" spans="1:9" ht="30" customHeight="1">
      <c r="A3" s="6" t="s">
        <v>13</v>
      </c>
      <c r="B3" s="1145" t="s">
        <v>4</v>
      </c>
      <c r="C3" s="1145"/>
      <c r="D3" s="1145"/>
      <c r="E3" s="1145"/>
      <c r="F3" s="1145"/>
      <c r="G3" s="1145"/>
      <c r="H3" s="7" t="s">
        <v>4759</v>
      </c>
      <c r="I3" s="1">
        <f>'Општи део - (6)'!D3+'Општи део - (6)'!D4+'Општи део - (6)'!D91</f>
        <v>816000000</v>
      </c>
    </row>
    <row r="4" spans="1:9" ht="30" customHeight="1">
      <c r="A4" s="6" t="s">
        <v>14</v>
      </c>
      <c r="B4" s="1145" t="s">
        <v>5</v>
      </c>
      <c r="C4" s="1145"/>
      <c r="D4" s="1145"/>
      <c r="E4" s="1145"/>
      <c r="F4" s="1145"/>
      <c r="G4" s="1145"/>
      <c r="H4" s="7" t="s">
        <v>6</v>
      </c>
      <c r="I4" s="1">
        <f>'По основ. нам.'!C5+'По основ. нам.'!C62</f>
        <v>802300000</v>
      </c>
    </row>
    <row r="5" spans="1:9" ht="30" customHeight="1">
      <c r="A5" s="5" t="s">
        <v>15</v>
      </c>
      <c r="B5" s="1146" t="s">
        <v>4453</v>
      </c>
      <c r="C5" s="1146"/>
      <c r="D5" s="1146"/>
      <c r="E5" s="1146"/>
      <c r="F5" s="1146"/>
      <c r="G5" s="1146"/>
      <c r="H5" s="8" t="s">
        <v>4760</v>
      </c>
      <c r="I5" s="2">
        <f>I3-I4</f>
        <v>13700000</v>
      </c>
    </row>
    <row r="6" spans="1:9" ht="30" customHeight="1">
      <c r="A6" s="6" t="s">
        <v>16</v>
      </c>
      <c r="B6" s="1145" t="s">
        <v>17</v>
      </c>
      <c r="C6" s="1145"/>
      <c r="D6" s="1145"/>
      <c r="E6" s="1145"/>
      <c r="F6" s="1145"/>
      <c r="G6" s="1145"/>
      <c r="H6" s="9">
        <v>62</v>
      </c>
      <c r="I6" s="3">
        <v>0</v>
      </c>
    </row>
    <row r="7" spans="1:9" ht="30" customHeight="1">
      <c r="A7" s="5" t="s">
        <v>18</v>
      </c>
      <c r="B7" s="1146" t="s">
        <v>4454</v>
      </c>
      <c r="C7" s="1146"/>
      <c r="D7" s="1146"/>
      <c r="E7" s="1146"/>
      <c r="F7" s="1146"/>
      <c r="G7" s="1146"/>
      <c r="H7" s="8" t="s">
        <v>4761</v>
      </c>
      <c r="I7" s="2">
        <f>I5-I6</f>
        <v>13700000</v>
      </c>
    </row>
    <row r="8" spans="1:9" ht="30" customHeight="1">
      <c r="A8" s="247" t="s">
        <v>7</v>
      </c>
      <c r="B8" s="1144" t="s">
        <v>8</v>
      </c>
      <c r="C8" s="1144"/>
      <c r="D8" s="1144"/>
      <c r="E8" s="1144"/>
      <c r="F8" s="1144"/>
      <c r="G8" s="1144"/>
      <c r="H8" s="1144"/>
      <c r="I8" s="1144"/>
    </row>
    <row r="9" spans="1:9" ht="30" customHeight="1">
      <c r="A9" s="6" t="s">
        <v>13</v>
      </c>
      <c r="B9" s="1145" t="s">
        <v>9</v>
      </c>
      <c r="C9" s="1145"/>
      <c r="D9" s="1145"/>
      <c r="E9" s="1145"/>
      <c r="F9" s="1145"/>
      <c r="G9" s="1145"/>
      <c r="H9" s="7">
        <v>91</v>
      </c>
      <c r="I9" s="1">
        <f>'Општи део - (6)'!D98</f>
        <v>0</v>
      </c>
    </row>
    <row r="10" spans="1:9" ht="30" customHeight="1">
      <c r="A10" s="6" t="s">
        <v>14</v>
      </c>
      <c r="B10" s="1145" t="s">
        <v>10</v>
      </c>
      <c r="C10" s="1145"/>
      <c r="D10" s="1145"/>
      <c r="E10" s="1145"/>
      <c r="F10" s="1145"/>
      <c r="G10" s="1145"/>
      <c r="H10" s="7">
        <v>92</v>
      </c>
      <c r="I10" s="1">
        <f>'Општи део - (6)'!D101</f>
        <v>0</v>
      </c>
    </row>
    <row r="11" spans="1:9" ht="30" customHeight="1">
      <c r="A11" s="6" t="s">
        <v>15</v>
      </c>
      <c r="B11" s="1145" t="s">
        <v>17</v>
      </c>
      <c r="C11" s="1145"/>
      <c r="D11" s="1145"/>
      <c r="E11" s="1145"/>
      <c r="F11" s="1145"/>
      <c r="G11" s="1145"/>
      <c r="H11" s="7">
        <v>6211</v>
      </c>
      <c r="I11" s="1">
        <f>'По основ. нам.'!C84</f>
        <v>13700000</v>
      </c>
    </row>
    <row r="12" spans="1:9" ht="30" customHeight="1">
      <c r="A12" s="6" t="s">
        <v>16</v>
      </c>
      <c r="B12" s="1145" t="s">
        <v>11</v>
      </c>
      <c r="C12" s="1145"/>
      <c r="D12" s="1145"/>
      <c r="E12" s="1145"/>
      <c r="F12" s="1145"/>
      <c r="G12" s="1145"/>
      <c r="H12" s="7">
        <v>61</v>
      </c>
      <c r="I12" s="1">
        <f>'По основ. нам.'!C80</f>
        <v>0</v>
      </c>
    </row>
    <row r="13" spans="1:9" ht="30" customHeight="1">
      <c r="A13" s="5" t="s">
        <v>18</v>
      </c>
      <c r="B13" s="1146" t="s">
        <v>12</v>
      </c>
      <c r="C13" s="1146"/>
      <c r="D13" s="1146"/>
      <c r="E13" s="1146"/>
      <c r="F13" s="1146"/>
      <c r="G13" s="1146"/>
      <c r="H13" s="8" t="s">
        <v>4763</v>
      </c>
      <c r="I13" s="2">
        <f>I9+I10-I11-I12</f>
        <v>-13700000</v>
      </c>
    </row>
    <row r="14" spans="1:9" ht="30" customHeight="1">
      <c r="A14" s="5" t="s">
        <v>19</v>
      </c>
      <c r="B14" s="1146" t="s">
        <v>4474</v>
      </c>
      <c r="C14" s="1146"/>
      <c r="D14" s="1146"/>
      <c r="E14" s="1146"/>
      <c r="F14" s="1146"/>
      <c r="G14" s="1146"/>
      <c r="H14" s="4" t="s">
        <v>4762</v>
      </c>
      <c r="I14" s="2">
        <f>I7+I13</f>
        <v>0</v>
      </c>
    </row>
    <row r="15" spans="1:9" ht="30.75" customHeight="1">
      <c r="A15" s="247"/>
      <c r="B15" s="1144"/>
      <c r="C15" s="1144"/>
      <c r="D15" s="1144"/>
      <c r="E15" s="1144"/>
      <c r="F15" s="1144"/>
      <c r="G15" s="1144"/>
      <c r="H15" s="249"/>
      <c r="I15" s="250"/>
    </row>
  </sheetData>
  <mergeCells count="14">
    <mergeCell ref="B6:G6"/>
    <mergeCell ref="B7:G7"/>
    <mergeCell ref="B2:G2"/>
    <mergeCell ref="B3:G3"/>
    <mergeCell ref="B4:G4"/>
    <mergeCell ref="B5:G5"/>
    <mergeCell ref="B8:I8"/>
    <mergeCell ref="B9:G9"/>
    <mergeCell ref="B14:G14"/>
    <mergeCell ref="B15:G15"/>
    <mergeCell ref="B10:G10"/>
    <mergeCell ref="B11:G11"/>
    <mergeCell ref="B12:G12"/>
    <mergeCell ref="B13:G13"/>
  </mergeCells>
  <conditionalFormatting sqref="I7 I5">
    <cfRule type="cellIs" dxfId="6" priority="4" operator="lessThan">
      <formula>0</formula>
    </cfRule>
  </conditionalFormatting>
  <conditionalFormatting sqref="I14">
    <cfRule type="cellIs" dxfId="5" priority="1" operator="lessThan">
      <formula>0</formula>
    </cfRule>
  </conditionalFormatting>
  <pageMargins left="0.7" right="0.7" top="0.75" bottom="0.75" header="0.3" footer="0.3"/>
  <pageSetup paperSize="9" orientation="landscape" verticalDpi="0" r:id="rId1"/>
</worksheet>
</file>

<file path=xl/worksheets/sheet10.xml><?xml version="1.0" encoding="utf-8"?>
<worksheet xmlns="http://schemas.openxmlformats.org/spreadsheetml/2006/main" xmlns:r="http://schemas.openxmlformats.org/officeDocument/2006/relationships">
  <dimension ref="A1:L258"/>
  <sheetViews>
    <sheetView workbookViewId="0">
      <selection activeCell="F265" sqref="F265"/>
    </sheetView>
  </sheetViews>
  <sheetFormatPr defaultRowHeight="15"/>
  <cols>
    <col min="1" max="1" width="5.140625" customWidth="1"/>
    <col min="2" max="2" width="7.140625" customWidth="1"/>
    <col min="3" max="3" width="49.85546875" customWidth="1"/>
    <col min="4" max="4" width="14" customWidth="1"/>
    <col min="5" max="5" width="13.140625" style="985" customWidth="1"/>
    <col min="6" max="6" width="14.7109375" style="985" customWidth="1"/>
    <col min="7" max="7" width="13.28515625" style="985" customWidth="1"/>
    <col min="8" max="8" width="12.42578125" style="985" customWidth="1"/>
    <col min="9" max="9" width="22.5703125" style="985" customWidth="1"/>
    <col min="10" max="10" width="0" hidden="1" customWidth="1"/>
  </cols>
  <sheetData>
    <row r="1" spans="1:8" ht="32.25" customHeight="1"/>
    <row r="2" spans="1:8" ht="32.25" customHeight="1">
      <c r="A2" s="972"/>
      <c r="B2" s="972"/>
      <c r="C2" s="972"/>
      <c r="D2" s="972">
        <v>1</v>
      </c>
      <c r="E2" s="986">
        <v>7</v>
      </c>
      <c r="F2" s="986">
        <v>8</v>
      </c>
      <c r="G2" s="986">
        <v>9</v>
      </c>
      <c r="H2" s="986">
        <v>13</v>
      </c>
    </row>
    <row r="3" spans="1:8" ht="18.75" customHeight="1" thickBot="1">
      <c r="A3" s="973"/>
      <c r="B3" s="974"/>
      <c r="C3" s="974"/>
      <c r="D3" s="974"/>
      <c r="E3" s="987"/>
      <c r="F3" s="987"/>
      <c r="G3" s="987"/>
      <c r="H3" s="987"/>
    </row>
    <row r="4" spans="1:8">
      <c r="A4" s="958">
        <v>1</v>
      </c>
      <c r="B4" s="971">
        <v>421</v>
      </c>
      <c r="C4" s="804" t="s">
        <v>3772</v>
      </c>
      <c r="D4" s="937">
        <v>50000</v>
      </c>
      <c r="E4" s="1063"/>
      <c r="F4" s="1041"/>
      <c r="G4" s="1019"/>
      <c r="H4" s="1019"/>
    </row>
    <row r="5" spans="1:8">
      <c r="A5" s="958">
        <v>2</v>
      </c>
      <c r="B5" s="680">
        <v>422</v>
      </c>
      <c r="C5" s="683" t="s">
        <v>3773</v>
      </c>
      <c r="D5" s="896">
        <v>50000</v>
      </c>
      <c r="E5" s="1064"/>
      <c r="F5" s="1041"/>
      <c r="G5" s="1019"/>
      <c r="H5" s="1019"/>
    </row>
    <row r="6" spans="1:8">
      <c r="A6" s="958">
        <v>3</v>
      </c>
      <c r="B6" s="681">
        <v>423</v>
      </c>
      <c r="C6" s="682" t="s">
        <v>3774</v>
      </c>
      <c r="D6" s="896">
        <v>4300000</v>
      </c>
      <c r="E6" s="1064"/>
      <c r="F6" s="1041"/>
      <c r="G6" s="1019"/>
      <c r="H6" s="1019"/>
    </row>
    <row r="7" spans="1:8">
      <c r="A7" s="958">
        <v>4</v>
      </c>
      <c r="B7" s="680">
        <v>424</v>
      </c>
      <c r="C7" s="683" t="s">
        <v>3776</v>
      </c>
      <c r="D7" s="475">
        <v>50000</v>
      </c>
      <c r="E7" s="1064"/>
      <c r="F7" s="1041"/>
      <c r="G7" s="1019"/>
      <c r="H7" s="1019"/>
    </row>
    <row r="8" spans="1:8">
      <c r="A8" s="958">
        <v>5</v>
      </c>
      <c r="B8" s="680">
        <v>426</v>
      </c>
      <c r="C8" s="683" t="s">
        <v>3780</v>
      </c>
      <c r="D8" s="896">
        <v>150000</v>
      </c>
      <c r="E8" s="1064"/>
      <c r="F8" s="1041"/>
      <c r="G8" s="1019"/>
      <c r="H8" s="1019"/>
    </row>
    <row r="9" spans="1:8">
      <c r="A9" s="915" t="s">
        <v>4673</v>
      </c>
      <c r="B9" s="913">
        <v>465</v>
      </c>
      <c r="C9" s="914" t="s">
        <v>4025</v>
      </c>
      <c r="D9" s="896">
        <v>80000</v>
      </c>
      <c r="E9" s="1064"/>
      <c r="F9" s="1041"/>
      <c r="G9" s="1019"/>
      <c r="H9" s="1019"/>
    </row>
    <row r="10" spans="1:8" ht="30">
      <c r="A10" s="958">
        <v>6</v>
      </c>
      <c r="B10" s="680">
        <v>481</v>
      </c>
      <c r="C10" s="683" t="s">
        <v>4255</v>
      </c>
      <c r="D10" s="475">
        <v>230000</v>
      </c>
      <c r="E10" s="1064"/>
      <c r="F10" s="1041"/>
      <c r="G10" s="1019"/>
      <c r="H10" s="1019"/>
    </row>
    <row r="11" spans="1:8" ht="15.75" thickBot="1">
      <c r="A11" s="996"/>
      <c r="B11" s="996"/>
      <c r="C11" s="996"/>
      <c r="D11" s="996"/>
      <c r="E11" s="1065"/>
      <c r="F11" s="1060"/>
      <c r="G11" s="1020"/>
      <c r="H11" s="1020"/>
    </row>
    <row r="12" spans="1:8">
      <c r="A12" s="212">
        <v>7</v>
      </c>
      <c r="B12" s="909">
        <v>421</v>
      </c>
      <c r="C12" s="975" t="s">
        <v>3772</v>
      </c>
      <c r="D12" s="1001">
        <v>100000</v>
      </c>
      <c r="E12" s="1064"/>
      <c r="F12" s="1041"/>
      <c r="G12" s="1019"/>
      <c r="H12" s="1019"/>
    </row>
    <row r="13" spans="1:8">
      <c r="A13" s="212">
        <v>8</v>
      </c>
      <c r="B13" s="597">
        <v>422</v>
      </c>
      <c r="C13" s="976" t="s">
        <v>3773</v>
      </c>
      <c r="D13" s="1002">
        <v>150000</v>
      </c>
      <c r="E13" s="1064"/>
      <c r="F13" s="1041"/>
      <c r="G13" s="1019"/>
      <c r="H13" s="1019"/>
    </row>
    <row r="14" spans="1:8">
      <c r="A14" s="212">
        <v>9</v>
      </c>
      <c r="B14" s="942">
        <v>423</v>
      </c>
      <c r="C14" s="977" t="s">
        <v>4317</v>
      </c>
      <c r="D14" s="1001">
        <v>4700000</v>
      </c>
      <c r="E14" s="1064"/>
      <c r="F14" s="1041"/>
      <c r="G14" s="1019"/>
      <c r="H14" s="1019"/>
    </row>
    <row r="15" spans="1:8">
      <c r="A15" s="212">
        <v>10</v>
      </c>
      <c r="B15" s="598">
        <v>424</v>
      </c>
      <c r="C15" s="978" t="s">
        <v>3776</v>
      </c>
      <c r="D15" s="1003">
        <v>200000</v>
      </c>
      <c r="E15" s="1064"/>
      <c r="F15" s="1041"/>
      <c r="G15" s="1019"/>
      <c r="H15" s="1019"/>
    </row>
    <row r="16" spans="1:8">
      <c r="A16" s="212">
        <v>11</v>
      </c>
      <c r="B16" s="942">
        <v>425</v>
      </c>
      <c r="C16" s="977" t="s">
        <v>4033</v>
      </c>
      <c r="D16" s="1001">
        <v>50000</v>
      </c>
      <c r="E16" s="1064"/>
      <c r="F16" s="1041"/>
      <c r="G16" s="1019"/>
      <c r="H16" s="1019"/>
    </row>
    <row r="17" spans="1:8" ht="15.75" thickBot="1">
      <c r="A17" s="212">
        <v>12</v>
      </c>
      <c r="B17" s="599">
        <v>426</v>
      </c>
      <c r="C17" s="979" t="s">
        <v>3780</v>
      </c>
      <c r="D17" s="1002">
        <v>200000</v>
      </c>
      <c r="E17" s="1064"/>
      <c r="F17" s="1041"/>
      <c r="G17" s="1019"/>
      <c r="H17" s="1019"/>
    </row>
    <row r="18" spans="1:8" ht="15.75" thickBot="1">
      <c r="A18" s="996"/>
      <c r="B18" s="996"/>
      <c r="C18" s="996"/>
      <c r="D18" s="996"/>
      <c r="E18" s="1065"/>
      <c r="F18" s="1060"/>
      <c r="G18" s="1020"/>
      <c r="H18" s="1020"/>
    </row>
    <row r="19" spans="1:8">
      <c r="A19" s="525" t="s">
        <v>255</v>
      </c>
      <c r="B19" s="655">
        <v>411</v>
      </c>
      <c r="C19" s="555" t="s">
        <v>4023</v>
      </c>
      <c r="D19" s="700">
        <v>2620000</v>
      </c>
      <c r="E19" s="1064"/>
      <c r="F19" s="1041"/>
      <c r="G19" s="1019"/>
      <c r="H19" s="1019"/>
    </row>
    <row r="20" spans="1:8">
      <c r="A20" s="525" t="s">
        <v>257</v>
      </c>
      <c r="B20" s="855">
        <v>412</v>
      </c>
      <c r="C20" s="857" t="s">
        <v>3759</v>
      </c>
      <c r="D20" s="1004">
        <v>490000</v>
      </c>
      <c r="E20" s="1064"/>
      <c r="F20" s="1041"/>
      <c r="G20" s="1019"/>
      <c r="H20" s="1019"/>
    </row>
    <row r="21" spans="1:8">
      <c r="A21" s="525" t="s">
        <v>259</v>
      </c>
      <c r="B21" s="856">
        <v>421</v>
      </c>
      <c r="C21" s="858" t="s">
        <v>3772</v>
      </c>
      <c r="D21" s="1005">
        <v>200000</v>
      </c>
      <c r="E21" s="1064"/>
      <c r="F21" s="1041"/>
      <c r="G21" s="1019"/>
      <c r="H21" s="1019"/>
    </row>
    <row r="22" spans="1:8">
      <c r="A22" s="212">
        <v>16</v>
      </c>
      <c r="B22" s="856">
        <v>422</v>
      </c>
      <c r="C22" s="859" t="s">
        <v>3773</v>
      </c>
      <c r="D22" s="1004">
        <v>200000</v>
      </c>
      <c r="E22" s="1064"/>
      <c r="F22" s="1041"/>
      <c r="G22" s="1019"/>
      <c r="H22" s="1019"/>
    </row>
    <row r="23" spans="1:8">
      <c r="A23" s="212">
        <v>17</v>
      </c>
      <c r="B23" s="856">
        <v>423</v>
      </c>
      <c r="C23" s="859" t="s">
        <v>3774</v>
      </c>
      <c r="D23" s="1004">
        <v>1200000</v>
      </c>
      <c r="E23" s="1064"/>
      <c r="F23" s="1041"/>
      <c r="G23" s="1019"/>
      <c r="H23" s="1019"/>
    </row>
    <row r="24" spans="1:8">
      <c r="A24" s="212">
        <v>18</v>
      </c>
      <c r="B24" s="856">
        <v>424</v>
      </c>
      <c r="C24" s="859" t="s">
        <v>3776</v>
      </c>
      <c r="D24" s="1006">
        <v>100000</v>
      </c>
      <c r="E24" s="1064"/>
      <c r="F24" s="1041"/>
      <c r="G24" s="1019"/>
      <c r="H24" s="1019"/>
    </row>
    <row r="25" spans="1:8">
      <c r="A25" s="212">
        <v>19</v>
      </c>
      <c r="B25" s="856">
        <v>426</v>
      </c>
      <c r="C25" s="859" t="s">
        <v>3780</v>
      </c>
      <c r="D25" s="1007">
        <v>150000</v>
      </c>
      <c r="E25" s="1064"/>
      <c r="F25" s="1041"/>
      <c r="G25" s="1019"/>
      <c r="H25" s="1019"/>
    </row>
    <row r="26" spans="1:8" ht="15.75" thickBot="1">
      <c r="A26" s="525" t="s">
        <v>4642</v>
      </c>
      <c r="B26" s="675">
        <v>465</v>
      </c>
      <c r="C26" s="860" t="s">
        <v>4025</v>
      </c>
      <c r="D26" s="1008">
        <v>350000</v>
      </c>
      <c r="E26" s="1064"/>
      <c r="F26" s="1041"/>
      <c r="G26" s="1019"/>
      <c r="H26" s="1019"/>
    </row>
    <row r="27" spans="1:8" ht="15.75" thickBot="1">
      <c r="A27" s="996"/>
      <c r="B27" s="996"/>
      <c r="C27" s="996"/>
      <c r="D27" s="996"/>
      <c r="E27" s="1065"/>
      <c r="F27" s="1060"/>
      <c r="G27" s="1020"/>
      <c r="H27" s="1020"/>
    </row>
    <row r="28" spans="1:8">
      <c r="A28" s="212">
        <v>21</v>
      </c>
      <c r="B28" s="909">
        <v>411</v>
      </c>
      <c r="C28" s="908" t="s">
        <v>4023</v>
      </c>
      <c r="D28" s="1009">
        <v>1500000</v>
      </c>
      <c r="E28" s="1064"/>
      <c r="F28" s="1041"/>
      <c r="G28" s="1019"/>
      <c r="H28" s="1019"/>
    </row>
    <row r="29" spans="1:8">
      <c r="A29" s="212">
        <v>22</v>
      </c>
      <c r="B29" s="943">
        <v>412</v>
      </c>
      <c r="C29" s="938" t="s">
        <v>3759</v>
      </c>
      <c r="D29" s="1006">
        <v>250000</v>
      </c>
      <c r="E29" s="1064"/>
      <c r="F29" s="1041"/>
      <c r="G29" s="1019"/>
      <c r="H29" s="1019"/>
    </row>
    <row r="30" spans="1:8">
      <c r="A30" s="212">
        <v>23</v>
      </c>
      <c r="B30" s="479">
        <v>421</v>
      </c>
      <c r="C30" s="477" t="s">
        <v>3772</v>
      </c>
      <c r="D30" s="1005">
        <v>50000</v>
      </c>
      <c r="E30" s="1064"/>
      <c r="F30" s="1041"/>
      <c r="G30" s="1019"/>
      <c r="H30" s="1019"/>
    </row>
    <row r="31" spans="1:8">
      <c r="A31" s="212">
        <v>24</v>
      </c>
      <c r="B31" s="479">
        <v>422</v>
      </c>
      <c r="C31" s="477" t="s">
        <v>3773</v>
      </c>
      <c r="D31" s="1005">
        <v>80000</v>
      </c>
      <c r="E31" s="1064"/>
      <c r="F31" s="1041"/>
      <c r="G31" s="1019"/>
      <c r="H31" s="1019"/>
    </row>
    <row r="32" spans="1:8">
      <c r="A32" s="212">
        <v>25</v>
      </c>
      <c r="B32" s="943">
        <v>423</v>
      </c>
      <c r="C32" s="895" t="s">
        <v>3774</v>
      </c>
      <c r="D32" s="1006">
        <v>1000000</v>
      </c>
      <c r="E32" s="1064"/>
      <c r="F32" s="1041"/>
      <c r="G32" s="1019"/>
      <c r="H32" s="1019"/>
    </row>
    <row r="33" spans="1:8">
      <c r="A33" s="212">
        <v>26</v>
      </c>
      <c r="B33" s="684">
        <v>426</v>
      </c>
      <c r="C33" s="685" t="s">
        <v>3780</v>
      </c>
      <c r="D33" s="1007">
        <v>60000</v>
      </c>
      <c r="E33" s="1064"/>
      <c r="F33" s="1041"/>
      <c r="G33" s="1019"/>
      <c r="H33" s="1019"/>
    </row>
    <row r="34" spans="1:8" ht="15.75" thickBot="1">
      <c r="A34" s="212">
        <v>27</v>
      </c>
      <c r="B34" s="1074">
        <v>465</v>
      </c>
      <c r="C34" s="1075" t="s">
        <v>4316</v>
      </c>
      <c r="D34" s="1076">
        <v>160000</v>
      </c>
      <c r="E34" s="1077"/>
      <c r="F34" s="1078"/>
      <c r="G34" s="1079"/>
      <c r="H34" s="1079"/>
    </row>
    <row r="35" spans="1:8" ht="16.5" thickBot="1">
      <c r="A35" s="1082"/>
      <c r="B35" s="1083"/>
      <c r="C35" s="1083"/>
      <c r="D35" s="1088"/>
      <c r="E35" s="1084"/>
      <c r="F35" s="1085"/>
      <c r="G35" s="1086"/>
      <c r="H35" s="1087"/>
    </row>
    <row r="36" spans="1:8">
      <c r="E36" s="1080"/>
      <c r="F36" s="1081"/>
      <c r="G36" s="1022"/>
      <c r="H36" s="1022"/>
    </row>
    <row r="37" spans="1:8" ht="15.75" thickBot="1">
      <c r="E37" s="1064"/>
      <c r="F37" s="1041"/>
      <c r="G37" s="1019"/>
      <c r="H37" s="1019"/>
    </row>
    <row r="38" spans="1:8" ht="15.75" thickBot="1">
      <c r="A38" s="212">
        <v>28</v>
      </c>
      <c r="B38" s="491">
        <v>423</v>
      </c>
      <c r="C38" s="988" t="s">
        <v>4317</v>
      </c>
      <c r="D38" s="700">
        <v>290000</v>
      </c>
      <c r="E38" s="1064"/>
      <c r="F38" s="1041"/>
      <c r="G38" s="1019"/>
      <c r="H38" s="1019"/>
    </row>
    <row r="39" spans="1:8">
      <c r="A39" s="212">
        <v>29</v>
      </c>
      <c r="B39" s="869">
        <v>426</v>
      </c>
      <c r="C39" s="980" t="s">
        <v>4591</v>
      </c>
      <c r="D39" s="1004">
        <v>130000</v>
      </c>
      <c r="E39" s="1064"/>
      <c r="F39" s="1041"/>
      <c r="G39" s="1019"/>
      <c r="H39" s="1019"/>
    </row>
    <row r="40" spans="1:8" ht="30">
      <c r="A40" s="212">
        <v>30</v>
      </c>
      <c r="B40" s="981">
        <v>472</v>
      </c>
      <c r="C40" s="982" t="s">
        <v>4450</v>
      </c>
      <c r="D40" s="1004">
        <v>4200000</v>
      </c>
      <c r="E40" s="1064"/>
      <c r="F40" s="1041"/>
      <c r="G40" s="1019"/>
      <c r="H40" s="1019"/>
    </row>
    <row r="41" spans="1:8" ht="30.75" thickBot="1">
      <c r="A41" s="212">
        <v>31</v>
      </c>
      <c r="B41" s="983">
        <v>481</v>
      </c>
      <c r="C41" s="984" t="s">
        <v>4636</v>
      </c>
      <c r="D41" s="1010">
        <v>1400000</v>
      </c>
      <c r="E41" s="1064"/>
      <c r="F41" s="1041"/>
      <c r="G41" s="1019"/>
      <c r="H41" s="1019"/>
    </row>
    <row r="42" spans="1:8" ht="15.75" thickBot="1">
      <c r="A42" s="958">
        <v>32</v>
      </c>
      <c r="B42" s="888">
        <v>472</v>
      </c>
      <c r="C42" s="944" t="s">
        <v>4640</v>
      </c>
      <c r="D42" s="1011">
        <v>4600000</v>
      </c>
      <c r="E42" s="1064"/>
      <c r="F42" s="1041"/>
      <c r="G42" s="1019"/>
      <c r="H42" s="1019"/>
    </row>
    <row r="43" spans="1:8">
      <c r="A43" s="925" t="s">
        <v>4674</v>
      </c>
      <c r="B43" s="554">
        <v>511</v>
      </c>
      <c r="C43" s="929" t="s">
        <v>4679</v>
      </c>
      <c r="D43" s="707">
        <v>0</v>
      </c>
      <c r="E43" s="1064">
        <v>13100000</v>
      </c>
      <c r="F43" s="1041"/>
      <c r="G43" s="1019">
        <v>6700000</v>
      </c>
      <c r="H43" s="1019"/>
    </row>
    <row r="44" spans="1:8">
      <c r="A44" s="925" t="s">
        <v>4675</v>
      </c>
      <c r="B44" s="927">
        <v>512</v>
      </c>
      <c r="C44" s="989" t="s">
        <v>4039</v>
      </c>
      <c r="D44" s="708">
        <v>0</v>
      </c>
      <c r="E44" s="1064">
        <v>0</v>
      </c>
      <c r="F44" s="1041"/>
      <c r="G44" s="1019">
        <v>0</v>
      </c>
      <c r="H44" s="1019"/>
    </row>
    <row r="45" spans="1:8">
      <c r="A45" s="925" t="s">
        <v>4677</v>
      </c>
      <c r="B45" s="702">
        <v>424</v>
      </c>
      <c r="C45" s="932" t="s">
        <v>3776</v>
      </c>
      <c r="D45" s="710">
        <v>0</v>
      </c>
      <c r="E45" s="1064">
        <v>400000</v>
      </c>
      <c r="F45" s="1041"/>
      <c r="G45" s="1019">
        <v>100000</v>
      </c>
      <c r="H45" s="1019"/>
    </row>
    <row r="46" spans="1:8">
      <c r="A46" s="925" t="s">
        <v>4721</v>
      </c>
      <c r="B46" s="702">
        <v>423</v>
      </c>
      <c r="C46" s="895" t="s">
        <v>3774</v>
      </c>
      <c r="D46" s="710"/>
      <c r="E46" s="1139">
        <v>140000</v>
      </c>
      <c r="F46" s="1041"/>
      <c r="G46" s="1019"/>
      <c r="H46" s="1019"/>
    </row>
    <row r="47" spans="1:8" ht="30.75" thickBot="1">
      <c r="A47" s="525" t="s">
        <v>4683</v>
      </c>
      <c r="B47" s="928">
        <v>464</v>
      </c>
      <c r="C47" s="990" t="s">
        <v>4678</v>
      </c>
      <c r="D47" s="1012">
        <v>0</v>
      </c>
      <c r="E47" s="1064">
        <v>0</v>
      </c>
      <c r="F47" s="1041"/>
      <c r="G47" s="1019">
        <v>0</v>
      </c>
      <c r="H47" s="1019"/>
    </row>
    <row r="48" spans="1:8">
      <c r="A48" s="212">
        <v>33</v>
      </c>
      <c r="B48" s="484">
        <v>4632</v>
      </c>
      <c r="C48" s="488" t="s">
        <v>4281</v>
      </c>
      <c r="D48" s="480">
        <v>200000</v>
      </c>
      <c r="E48" s="1064"/>
      <c r="F48" s="1041"/>
      <c r="G48" s="1019"/>
      <c r="H48" s="1019"/>
    </row>
    <row r="49" spans="1:12">
      <c r="A49" s="212">
        <v>34</v>
      </c>
      <c r="B49" s="871">
        <v>4631</v>
      </c>
      <c r="C49" s="982" t="s">
        <v>4470</v>
      </c>
      <c r="D49" s="494">
        <v>8520000</v>
      </c>
      <c r="E49" s="1064"/>
      <c r="F49" s="1041"/>
      <c r="G49" s="1019"/>
      <c r="H49" s="1019"/>
    </row>
    <row r="50" spans="1:12">
      <c r="A50" s="212">
        <v>35</v>
      </c>
      <c r="B50" s="702">
        <v>4632</v>
      </c>
      <c r="C50" s="982" t="s">
        <v>4471</v>
      </c>
      <c r="D50" s="513">
        <v>30000</v>
      </c>
      <c r="E50" s="1064"/>
      <c r="F50" s="1041"/>
      <c r="G50" s="1019"/>
      <c r="H50" s="1019"/>
    </row>
    <row r="51" spans="1:12" ht="15.75" thickBot="1">
      <c r="A51" s="212">
        <v>36</v>
      </c>
      <c r="B51" s="872">
        <v>472</v>
      </c>
      <c r="C51" s="991" t="s">
        <v>4262</v>
      </c>
      <c r="D51" s="1013">
        <v>150000</v>
      </c>
      <c r="E51" s="1064"/>
      <c r="F51" s="1041"/>
      <c r="G51" s="1019"/>
      <c r="H51" s="1019"/>
    </row>
    <row r="52" spans="1:12" ht="15.75" thickBot="1">
      <c r="A52" s="212">
        <v>37</v>
      </c>
      <c r="B52" s="872">
        <v>481</v>
      </c>
      <c r="C52" s="885" t="s">
        <v>4635</v>
      </c>
      <c r="D52" s="1014">
        <v>5000000</v>
      </c>
      <c r="E52" s="1064"/>
      <c r="F52" s="1041"/>
      <c r="G52" s="1019"/>
      <c r="H52" s="1019"/>
    </row>
    <row r="53" spans="1:12" ht="15.75" thickBot="1">
      <c r="A53" s="378">
        <v>38</v>
      </c>
      <c r="B53" s="909">
        <v>481</v>
      </c>
      <c r="C53" s="910" t="s">
        <v>4635</v>
      </c>
      <c r="D53" s="899">
        <v>650000</v>
      </c>
      <c r="E53" s="1064">
        <v>4750000</v>
      </c>
      <c r="F53" s="1041"/>
      <c r="G53" s="1019"/>
      <c r="H53" s="1019"/>
    </row>
    <row r="54" spans="1:12" ht="15.75" thickBot="1">
      <c r="A54" s="958">
        <v>39</v>
      </c>
      <c r="B54" s="534">
        <v>481</v>
      </c>
      <c r="C54" s="995" t="s">
        <v>4261</v>
      </c>
      <c r="D54" s="658">
        <v>5350000</v>
      </c>
      <c r="E54" s="1064"/>
      <c r="F54" s="1041"/>
      <c r="G54" s="1019"/>
      <c r="H54" s="1019"/>
    </row>
    <row r="55" spans="1:12" ht="30">
      <c r="A55" s="212">
        <v>40</v>
      </c>
      <c r="B55" s="484">
        <v>472</v>
      </c>
      <c r="C55" s="488" t="s">
        <v>4592</v>
      </c>
      <c r="D55" s="480">
        <v>1500000</v>
      </c>
      <c r="E55" s="1064"/>
      <c r="F55" s="1041"/>
      <c r="G55" s="1019"/>
      <c r="H55" s="1019"/>
    </row>
    <row r="56" spans="1:12" ht="15.75" thickBot="1">
      <c r="A56" s="212">
        <v>41</v>
      </c>
      <c r="B56" s="872">
        <v>481</v>
      </c>
      <c r="C56" s="991" t="s">
        <v>4484</v>
      </c>
      <c r="D56" s="1014">
        <v>1500000</v>
      </c>
      <c r="E56" s="1064"/>
      <c r="F56" s="1041"/>
      <c r="G56" s="1019"/>
      <c r="H56" s="1019"/>
    </row>
    <row r="57" spans="1:12">
      <c r="A57" s="996"/>
      <c r="B57" s="996"/>
      <c r="C57" s="996"/>
      <c r="D57" s="996"/>
      <c r="E57" s="1065"/>
      <c r="F57" s="1060"/>
      <c r="G57" s="1020"/>
      <c r="H57" s="1020"/>
      <c r="I57" s="997"/>
      <c r="J57" s="996"/>
      <c r="K57" s="996"/>
      <c r="L57" s="996"/>
    </row>
    <row r="58" spans="1:12">
      <c r="A58" s="212">
        <v>42</v>
      </c>
      <c r="B58" s="711">
        <v>424</v>
      </c>
      <c r="C58" s="705" t="s">
        <v>3776</v>
      </c>
      <c r="D58" s="896">
        <v>0</v>
      </c>
      <c r="E58" s="1064"/>
      <c r="F58" s="1041"/>
      <c r="G58" s="1019"/>
      <c r="H58" s="1019"/>
    </row>
    <row r="59" spans="1:12" ht="15.75" thickBot="1">
      <c r="A59" s="378">
        <v>43</v>
      </c>
      <c r="B59" s="703">
        <v>511</v>
      </c>
      <c r="C59" s="704" t="s">
        <v>4038</v>
      </c>
      <c r="D59" s="1014">
        <v>0</v>
      </c>
      <c r="E59" s="1064"/>
      <c r="F59" s="1041"/>
      <c r="G59" s="1019">
        <v>5200000</v>
      </c>
      <c r="H59" s="1019"/>
    </row>
    <row r="60" spans="1:12" ht="15.75" thickBot="1">
      <c r="A60" s="996"/>
      <c r="B60" s="996"/>
      <c r="C60" s="996"/>
      <c r="D60" s="996"/>
      <c r="E60" s="1065"/>
      <c r="F60" s="1060"/>
      <c r="G60" s="1020"/>
      <c r="H60" s="1020"/>
      <c r="I60" s="997"/>
      <c r="J60" s="996"/>
      <c r="K60" s="996"/>
      <c r="L60" s="996"/>
    </row>
    <row r="61" spans="1:12">
      <c r="A61" s="212">
        <v>44</v>
      </c>
      <c r="B61" s="655">
        <v>411</v>
      </c>
      <c r="C61" s="580" t="s">
        <v>4023</v>
      </c>
      <c r="D61" s="899">
        <v>54000000</v>
      </c>
      <c r="E61" s="1064"/>
      <c r="F61" s="1041"/>
      <c r="G61" s="1019"/>
      <c r="H61" s="1019"/>
    </row>
    <row r="62" spans="1:12">
      <c r="A62" s="212">
        <v>45</v>
      </c>
      <c r="B62" s="998">
        <v>412</v>
      </c>
      <c r="C62" s="656" t="s">
        <v>3759</v>
      </c>
      <c r="D62" s="896">
        <v>9600000</v>
      </c>
      <c r="E62" s="1064"/>
      <c r="F62" s="1041"/>
      <c r="G62" s="1019"/>
      <c r="H62" s="1019"/>
    </row>
    <row r="63" spans="1:12">
      <c r="A63" s="212">
        <v>46</v>
      </c>
      <c r="B63" s="999">
        <v>413</v>
      </c>
      <c r="C63" s="512" t="s">
        <v>4024</v>
      </c>
      <c r="D63" s="475">
        <v>450000</v>
      </c>
      <c r="E63" s="1064"/>
      <c r="F63" s="1041"/>
      <c r="G63" s="1019"/>
      <c r="H63" s="1019"/>
    </row>
    <row r="64" spans="1:12">
      <c r="A64" s="212">
        <v>47</v>
      </c>
      <c r="B64" s="999">
        <v>414</v>
      </c>
      <c r="C64" s="512" t="s">
        <v>3762</v>
      </c>
      <c r="D64" s="896">
        <v>1000000</v>
      </c>
      <c r="E64" s="1064"/>
      <c r="F64" s="1041"/>
      <c r="G64" s="1019"/>
      <c r="H64" s="1019"/>
    </row>
    <row r="65" spans="1:8">
      <c r="A65" s="212">
        <v>48</v>
      </c>
      <c r="B65" s="999">
        <v>415</v>
      </c>
      <c r="C65" s="512" t="s">
        <v>4031</v>
      </c>
      <c r="D65" s="475">
        <v>1300000</v>
      </c>
      <c r="E65" s="1064"/>
      <c r="F65" s="1041"/>
      <c r="G65" s="1019"/>
      <c r="H65" s="1019"/>
    </row>
    <row r="66" spans="1:8">
      <c r="A66" s="212">
        <v>49</v>
      </c>
      <c r="B66" s="999">
        <v>416</v>
      </c>
      <c r="C66" s="512" t="s">
        <v>4032</v>
      </c>
      <c r="D66" s="475">
        <v>500000</v>
      </c>
      <c r="E66" s="1064"/>
      <c r="F66" s="1041"/>
      <c r="G66" s="1019"/>
      <c r="H66" s="1019"/>
    </row>
    <row r="67" spans="1:8">
      <c r="A67" s="212">
        <v>50</v>
      </c>
      <c r="B67" s="999">
        <v>421</v>
      </c>
      <c r="C67" s="512" t="s">
        <v>3772</v>
      </c>
      <c r="D67" s="896">
        <v>9500000</v>
      </c>
      <c r="E67" s="1064"/>
      <c r="F67" s="1041"/>
      <c r="G67" s="1019"/>
      <c r="H67" s="1019"/>
    </row>
    <row r="68" spans="1:8">
      <c r="A68" s="212">
        <v>51</v>
      </c>
      <c r="B68" s="999">
        <v>422</v>
      </c>
      <c r="C68" s="512" t="s">
        <v>3773</v>
      </c>
      <c r="D68" s="896">
        <v>1000000</v>
      </c>
      <c r="E68" s="1064"/>
      <c r="F68" s="1041"/>
      <c r="G68" s="1019"/>
      <c r="H68" s="1019"/>
    </row>
    <row r="69" spans="1:8">
      <c r="A69" s="378">
        <v>52</v>
      </c>
      <c r="B69" s="998">
        <v>423</v>
      </c>
      <c r="C69" s="530" t="s">
        <v>3774</v>
      </c>
      <c r="D69" s="896">
        <v>13360000</v>
      </c>
      <c r="E69" s="1064"/>
      <c r="F69" s="1041"/>
      <c r="G69" s="1019"/>
      <c r="H69" s="1019"/>
    </row>
    <row r="70" spans="1:8">
      <c r="A70" s="378">
        <v>53</v>
      </c>
      <c r="B70" s="998">
        <v>424</v>
      </c>
      <c r="C70" s="530" t="s">
        <v>3776</v>
      </c>
      <c r="D70" s="494">
        <v>1300000</v>
      </c>
      <c r="E70" s="1064"/>
      <c r="F70" s="1041"/>
      <c r="G70" s="1019"/>
      <c r="H70" s="1019"/>
    </row>
    <row r="71" spans="1:8">
      <c r="A71" s="378">
        <v>54</v>
      </c>
      <c r="B71" s="998">
        <v>425</v>
      </c>
      <c r="C71" s="530" t="s">
        <v>4033</v>
      </c>
      <c r="D71" s="494">
        <v>2540000</v>
      </c>
      <c r="E71" s="1064"/>
      <c r="F71" s="1041"/>
      <c r="G71" s="1019"/>
      <c r="H71" s="1019"/>
    </row>
    <row r="72" spans="1:8">
      <c r="A72" s="378">
        <v>55</v>
      </c>
      <c r="B72" s="998">
        <v>426</v>
      </c>
      <c r="C72" s="530" t="s">
        <v>3780</v>
      </c>
      <c r="D72" s="896">
        <v>6500000</v>
      </c>
      <c r="E72" s="1064"/>
      <c r="F72" s="1041"/>
      <c r="G72" s="1019"/>
      <c r="H72" s="1019"/>
    </row>
    <row r="73" spans="1:8">
      <c r="A73" s="378">
        <v>56</v>
      </c>
      <c r="B73" s="998">
        <v>465</v>
      </c>
      <c r="C73" s="656" t="s">
        <v>4025</v>
      </c>
      <c r="D73" s="896">
        <v>6000000</v>
      </c>
      <c r="E73" s="1064"/>
      <c r="F73" s="1041"/>
      <c r="G73" s="1019"/>
      <c r="H73" s="1019"/>
    </row>
    <row r="74" spans="1:8">
      <c r="A74" s="378">
        <v>57</v>
      </c>
      <c r="B74" s="998">
        <v>482</v>
      </c>
      <c r="C74" s="530" t="s">
        <v>4035</v>
      </c>
      <c r="D74" s="896">
        <v>1700000</v>
      </c>
      <c r="E74" s="1064"/>
      <c r="F74" s="1041"/>
      <c r="G74" s="1019"/>
      <c r="H74" s="1019"/>
    </row>
    <row r="75" spans="1:8">
      <c r="A75" s="378">
        <v>58</v>
      </c>
      <c r="B75" s="998">
        <v>483</v>
      </c>
      <c r="C75" s="530" t="s">
        <v>4036</v>
      </c>
      <c r="D75" s="896">
        <v>2300000</v>
      </c>
      <c r="E75" s="1064"/>
      <c r="F75" s="1041"/>
      <c r="G75" s="1019"/>
      <c r="H75" s="1019"/>
    </row>
    <row r="76" spans="1:8" ht="30">
      <c r="A76" s="378">
        <v>59</v>
      </c>
      <c r="B76" s="998">
        <v>484</v>
      </c>
      <c r="C76" s="530" t="s">
        <v>4037</v>
      </c>
      <c r="D76" s="494">
        <v>4000000</v>
      </c>
      <c r="E76" s="1064"/>
      <c r="F76" s="1041"/>
      <c r="G76" s="1019"/>
      <c r="H76" s="1019"/>
    </row>
    <row r="77" spans="1:8">
      <c r="A77" s="378">
        <v>60</v>
      </c>
      <c r="B77" s="998">
        <v>485</v>
      </c>
      <c r="C77" s="530" t="s">
        <v>4325</v>
      </c>
      <c r="D77" s="494">
        <v>100000</v>
      </c>
      <c r="E77" s="1064"/>
      <c r="F77" s="1041"/>
      <c r="G77" s="1019"/>
      <c r="H77" s="1019"/>
    </row>
    <row r="78" spans="1:8">
      <c r="A78" s="378">
        <v>61</v>
      </c>
      <c r="B78" s="1000">
        <v>511</v>
      </c>
      <c r="C78" s="959" t="s">
        <v>4038</v>
      </c>
      <c r="D78" s="896">
        <v>3000000</v>
      </c>
      <c r="E78" s="1064"/>
      <c r="F78" s="1041"/>
      <c r="G78" s="1019">
        <v>0</v>
      </c>
      <c r="H78" s="1019"/>
    </row>
    <row r="79" spans="1:8">
      <c r="A79" s="378">
        <v>62</v>
      </c>
      <c r="B79" s="1000">
        <v>512</v>
      </c>
      <c r="C79" s="959" t="s">
        <v>4039</v>
      </c>
      <c r="D79" s="1006">
        <v>1500000</v>
      </c>
      <c r="E79" s="1064"/>
      <c r="F79" s="1041"/>
      <c r="G79" s="1019">
        <v>2000000</v>
      </c>
      <c r="H79" s="1019"/>
    </row>
    <row r="80" spans="1:8">
      <c r="A80" s="378">
        <v>63</v>
      </c>
      <c r="B80" s="998">
        <v>515</v>
      </c>
      <c r="C80" s="530" t="s">
        <v>3827</v>
      </c>
      <c r="D80" s="1004">
        <v>200000</v>
      </c>
      <c r="E80" s="1064"/>
      <c r="F80" s="1041"/>
      <c r="G80" s="1019"/>
      <c r="H80" s="1019"/>
    </row>
    <row r="81" spans="1:11" ht="15.75" thickBot="1">
      <c r="A81" s="212">
        <v>64</v>
      </c>
      <c r="B81" s="675">
        <v>541</v>
      </c>
      <c r="C81" s="579" t="s">
        <v>4041</v>
      </c>
      <c r="D81" s="514">
        <v>0</v>
      </c>
      <c r="E81" s="1064"/>
      <c r="F81" s="1041"/>
      <c r="G81" s="1019">
        <v>4800000</v>
      </c>
      <c r="H81" s="1019"/>
    </row>
    <row r="82" spans="1:11" ht="15.75" thickBot="1">
      <c r="A82" s="212" t="s">
        <v>4663</v>
      </c>
      <c r="B82" s="491">
        <v>465</v>
      </c>
      <c r="C82" s="656" t="s">
        <v>4025</v>
      </c>
      <c r="D82" s="1015">
        <v>0</v>
      </c>
      <c r="E82" s="1064"/>
      <c r="F82" s="1041"/>
      <c r="G82" s="1019">
        <v>2000000</v>
      </c>
      <c r="H82" s="1019"/>
    </row>
    <row r="83" spans="1:11" ht="15.75" thickBot="1">
      <c r="A83" s="212">
        <v>65</v>
      </c>
      <c r="B83" s="491">
        <v>499</v>
      </c>
      <c r="C83" s="562" t="s">
        <v>4266</v>
      </c>
      <c r="D83" s="1016">
        <v>27000000</v>
      </c>
      <c r="E83" s="1064"/>
      <c r="F83" s="1041"/>
      <c r="G83" s="1019"/>
      <c r="H83" s="1019"/>
    </row>
    <row r="84" spans="1:11" ht="15.75" thickBot="1">
      <c r="A84" s="212">
        <v>66</v>
      </c>
      <c r="B84" s="491">
        <v>499</v>
      </c>
      <c r="C84" s="562" t="s">
        <v>4265</v>
      </c>
      <c r="D84" s="1017">
        <v>500000</v>
      </c>
      <c r="E84" s="1064"/>
      <c r="F84" s="1041"/>
      <c r="G84" s="1019"/>
      <c r="H84" s="1019"/>
    </row>
    <row r="85" spans="1:11" ht="15.75" thickBot="1">
      <c r="A85" s="996"/>
      <c r="B85" s="996"/>
      <c r="C85" s="996"/>
      <c r="D85" s="996"/>
      <c r="E85" s="1065"/>
      <c r="F85" s="1060"/>
      <c r="G85" s="1020"/>
      <c r="H85" s="1020"/>
      <c r="I85" s="997"/>
      <c r="J85" s="996"/>
      <c r="K85" s="996"/>
    </row>
    <row r="86" spans="1:11" ht="15.75" thickBot="1">
      <c r="A86" s="750">
        <v>67</v>
      </c>
      <c r="B86" s="749">
        <v>424</v>
      </c>
      <c r="C86" s="686" t="s">
        <v>3776</v>
      </c>
      <c r="D86" s="747">
        <v>0</v>
      </c>
      <c r="E86" s="1064"/>
      <c r="F86" s="1041"/>
      <c r="G86" s="1019"/>
      <c r="H86" s="1019">
        <v>1700000</v>
      </c>
    </row>
    <row r="87" spans="1:11" ht="15.75" thickBot="1">
      <c r="A87" s="958">
        <v>68</v>
      </c>
      <c r="B87" s="930">
        <v>515</v>
      </c>
      <c r="C87" s="931" t="s">
        <v>3827</v>
      </c>
      <c r="D87" s="1018">
        <v>0</v>
      </c>
      <c r="E87" s="1064"/>
      <c r="F87" s="1041">
        <v>3580000</v>
      </c>
      <c r="G87" s="1019"/>
      <c r="H87" s="1019">
        <v>2420000</v>
      </c>
    </row>
    <row r="88" spans="1:11">
      <c r="A88" s="996"/>
      <c r="B88" s="996"/>
      <c r="C88" s="996"/>
      <c r="D88" s="996"/>
      <c r="E88" s="1065"/>
      <c r="F88" s="1060"/>
      <c r="G88" s="1020"/>
      <c r="H88" s="1020"/>
    </row>
    <row r="89" spans="1:11">
      <c r="A89" s="212">
        <v>69</v>
      </c>
      <c r="B89" s="515">
        <v>422</v>
      </c>
      <c r="C89" s="556" t="s">
        <v>3773</v>
      </c>
      <c r="D89" s="475">
        <v>0</v>
      </c>
      <c r="E89" s="1064"/>
      <c r="F89" s="1041"/>
      <c r="G89" s="1019"/>
      <c r="H89" s="1019"/>
    </row>
    <row r="90" spans="1:11">
      <c r="A90" s="212">
        <v>70</v>
      </c>
      <c r="B90" s="515">
        <v>423</v>
      </c>
      <c r="C90" s="556" t="s">
        <v>3774</v>
      </c>
      <c r="D90" s="475">
        <v>300000</v>
      </c>
      <c r="E90" s="1064"/>
      <c r="F90" s="1041"/>
      <c r="G90" s="1019"/>
      <c r="H90" s="1019"/>
    </row>
    <row r="91" spans="1:11">
      <c r="A91" s="212">
        <v>71</v>
      </c>
      <c r="B91" s="515">
        <v>424</v>
      </c>
      <c r="C91" s="557" t="s">
        <v>3776</v>
      </c>
      <c r="D91" s="475">
        <v>900000</v>
      </c>
      <c r="E91" s="1064"/>
      <c r="F91" s="1041"/>
      <c r="G91" s="1019"/>
      <c r="H91" s="1019"/>
    </row>
    <row r="92" spans="1:11">
      <c r="A92" s="212">
        <v>72</v>
      </c>
      <c r="B92" s="906">
        <v>425</v>
      </c>
      <c r="C92" s="907" t="s">
        <v>4033</v>
      </c>
      <c r="D92" s="386">
        <v>2270000</v>
      </c>
      <c r="E92" s="1064"/>
      <c r="F92" s="1041"/>
      <c r="G92" s="1019">
        <v>11650000</v>
      </c>
      <c r="H92" s="1019">
        <v>5580000</v>
      </c>
    </row>
    <row r="93" spans="1:11">
      <c r="A93" s="212">
        <v>73</v>
      </c>
      <c r="B93" s="515">
        <v>426</v>
      </c>
      <c r="C93" s="557" t="s">
        <v>3780</v>
      </c>
      <c r="D93" s="475">
        <v>1200000</v>
      </c>
      <c r="E93" s="1064"/>
      <c r="F93" s="1041"/>
      <c r="G93" s="1019"/>
      <c r="H93" s="1019"/>
    </row>
    <row r="94" spans="1:11">
      <c r="A94" s="212">
        <v>74</v>
      </c>
      <c r="B94" s="810">
        <v>4512</v>
      </c>
      <c r="C94" s="614" t="s">
        <v>4297</v>
      </c>
      <c r="D94" s="494">
        <v>600000</v>
      </c>
      <c r="E94" s="1064"/>
      <c r="F94" s="1041"/>
      <c r="G94" s="1019"/>
      <c r="H94" s="1019">
        <v>3400000</v>
      </c>
    </row>
    <row r="95" spans="1:11">
      <c r="A95" s="212">
        <v>75</v>
      </c>
      <c r="B95" s="515">
        <v>481</v>
      </c>
      <c r="C95" s="614" t="s">
        <v>4459</v>
      </c>
      <c r="D95" s="494">
        <v>1000000</v>
      </c>
      <c r="E95" s="1064"/>
      <c r="F95" s="1041"/>
      <c r="G95" s="1019"/>
      <c r="H95" s="1019"/>
    </row>
    <row r="96" spans="1:11" ht="15.75" thickBot="1">
      <c r="A96" s="996"/>
      <c r="B96" s="996"/>
      <c r="C96" s="996"/>
      <c r="D96" s="996"/>
      <c r="E96" s="1066"/>
      <c r="F96" s="1061"/>
      <c r="G96" s="1021"/>
      <c r="H96" s="1021"/>
    </row>
    <row r="97" spans="1:8">
      <c r="A97" s="384">
        <v>76</v>
      </c>
      <c r="B97" s="888">
        <v>423</v>
      </c>
      <c r="C97" s="898" t="s">
        <v>3774</v>
      </c>
      <c r="D97" s="1009">
        <v>700000</v>
      </c>
      <c r="E97" s="1063"/>
      <c r="F97" s="1040"/>
      <c r="G97" s="1023"/>
      <c r="H97" s="1024"/>
    </row>
    <row r="98" spans="1:8">
      <c r="A98" s="523" t="s">
        <v>4737</v>
      </c>
      <c r="B98" s="515">
        <v>424</v>
      </c>
      <c r="C98" s="557" t="s">
        <v>3776</v>
      </c>
      <c r="D98" s="1140">
        <v>600000</v>
      </c>
      <c r="E98" s="1080"/>
      <c r="F98" s="1081"/>
      <c r="G98" s="1022"/>
      <c r="H98" s="1141"/>
    </row>
    <row r="99" spans="1:8">
      <c r="A99" s="523">
        <v>77</v>
      </c>
      <c r="B99" s="1025">
        <v>425</v>
      </c>
      <c r="C99" s="1026" t="s">
        <v>4033</v>
      </c>
      <c r="D99" s="1006">
        <v>3000000</v>
      </c>
      <c r="E99" s="1064"/>
      <c r="F99" s="1041"/>
      <c r="G99" s="1019"/>
      <c r="H99" s="1027"/>
    </row>
    <row r="100" spans="1:8">
      <c r="A100" s="523">
        <v>78</v>
      </c>
      <c r="B100" s="927">
        <v>426</v>
      </c>
      <c r="C100" s="1028" t="s">
        <v>3780</v>
      </c>
      <c r="D100" s="1004">
        <v>100000</v>
      </c>
      <c r="E100" s="1064"/>
      <c r="F100" s="1041"/>
      <c r="G100" s="1019"/>
      <c r="H100" s="1027"/>
    </row>
    <row r="101" spans="1:8">
      <c r="A101" s="1029" t="s">
        <v>4643</v>
      </c>
      <c r="B101" s="1025">
        <v>511</v>
      </c>
      <c r="C101" s="1030" t="s">
        <v>4038</v>
      </c>
      <c r="D101" s="1006">
        <v>0</v>
      </c>
      <c r="E101" s="1064"/>
      <c r="F101" s="1041"/>
      <c r="G101" s="1019"/>
      <c r="H101" s="1027"/>
    </row>
    <row r="102" spans="1:8" ht="15.75" thickBot="1">
      <c r="A102" s="523">
        <v>80</v>
      </c>
      <c r="B102" s="1031">
        <v>512</v>
      </c>
      <c r="C102" s="1032" t="s">
        <v>4039</v>
      </c>
      <c r="D102" s="1010">
        <v>3600000</v>
      </c>
      <c r="E102" s="1064"/>
      <c r="F102" s="1041"/>
      <c r="G102" s="1019">
        <v>2500000</v>
      </c>
      <c r="H102" s="1027"/>
    </row>
    <row r="103" spans="1:8">
      <c r="A103" s="523">
        <v>81</v>
      </c>
      <c r="B103" s="888">
        <v>424</v>
      </c>
      <c r="C103" s="908" t="s">
        <v>3776</v>
      </c>
      <c r="D103" s="1009">
        <v>1000000</v>
      </c>
      <c r="E103" s="1064"/>
      <c r="F103" s="1041"/>
      <c r="G103" s="1019"/>
      <c r="H103" s="1027"/>
    </row>
    <row r="104" spans="1:8">
      <c r="A104" s="523">
        <v>82</v>
      </c>
      <c r="B104" s="927">
        <v>425</v>
      </c>
      <c r="C104" s="1028" t="s">
        <v>4033</v>
      </c>
      <c r="D104" s="1004">
        <v>24000000</v>
      </c>
      <c r="E104" s="1064"/>
      <c r="F104" s="1041"/>
      <c r="G104" s="1019"/>
      <c r="H104" s="1027"/>
    </row>
    <row r="105" spans="1:8">
      <c r="A105" s="523">
        <v>83</v>
      </c>
      <c r="B105" s="927">
        <v>426</v>
      </c>
      <c r="C105" s="1028" t="s">
        <v>3780</v>
      </c>
      <c r="D105" s="1004">
        <v>300000</v>
      </c>
      <c r="E105" s="1064"/>
      <c r="F105" s="1041"/>
      <c r="G105" s="1019"/>
      <c r="H105" s="1027"/>
    </row>
    <row r="106" spans="1:8" ht="15.75" thickBot="1">
      <c r="A106" s="523">
        <v>84</v>
      </c>
      <c r="B106" s="1033">
        <v>511</v>
      </c>
      <c r="C106" s="990" t="s">
        <v>4038</v>
      </c>
      <c r="D106" s="1008">
        <v>2400000</v>
      </c>
      <c r="E106" s="1064"/>
      <c r="F106" s="1041"/>
      <c r="G106" s="1019"/>
      <c r="H106" s="1027"/>
    </row>
    <row r="107" spans="1:8">
      <c r="A107" s="1034">
        <v>85</v>
      </c>
      <c r="B107" s="554">
        <v>423</v>
      </c>
      <c r="C107" s="746" t="s">
        <v>3774</v>
      </c>
      <c r="D107" s="890">
        <v>0</v>
      </c>
      <c r="E107" s="1064"/>
      <c r="F107" s="1041"/>
      <c r="G107" s="1019"/>
      <c r="H107" s="1027"/>
    </row>
    <row r="108" spans="1:8" ht="15.75" thickBot="1">
      <c r="A108" s="523">
        <v>86</v>
      </c>
      <c r="B108" s="1033">
        <v>511</v>
      </c>
      <c r="C108" s="1035" t="s">
        <v>4038</v>
      </c>
      <c r="D108" s="891">
        <v>0</v>
      </c>
      <c r="E108" s="1064"/>
      <c r="F108" s="1041"/>
      <c r="G108" s="1019">
        <v>4500000</v>
      </c>
      <c r="H108" s="1027"/>
    </row>
    <row r="109" spans="1:8">
      <c r="A109" s="1034">
        <v>87</v>
      </c>
      <c r="B109" s="888">
        <v>423</v>
      </c>
      <c r="C109" s="889" t="s">
        <v>3774</v>
      </c>
      <c r="D109" s="890">
        <v>0</v>
      </c>
      <c r="E109" s="1064"/>
      <c r="F109" s="1041"/>
      <c r="G109" s="1019"/>
      <c r="H109" s="1027"/>
    </row>
    <row r="110" spans="1:8" ht="15.75" thickBot="1">
      <c r="A110" s="523">
        <v>88</v>
      </c>
      <c r="B110" s="1031">
        <v>511</v>
      </c>
      <c r="C110" s="1036" t="s">
        <v>4038</v>
      </c>
      <c r="D110" s="891">
        <v>0</v>
      </c>
      <c r="E110" s="1064"/>
      <c r="F110" s="1041"/>
      <c r="G110" s="1019"/>
      <c r="H110" s="1027">
        <v>7500000</v>
      </c>
    </row>
    <row r="111" spans="1:8">
      <c r="A111" s="1034">
        <v>89</v>
      </c>
      <c r="B111" s="554">
        <v>423</v>
      </c>
      <c r="C111" s="746" t="s">
        <v>3774</v>
      </c>
      <c r="D111" s="747">
        <v>0</v>
      </c>
      <c r="E111" s="1064"/>
      <c r="F111" s="1041"/>
      <c r="G111" s="1019"/>
      <c r="H111" s="1027"/>
    </row>
    <row r="112" spans="1:8" ht="15.75" thickBot="1">
      <c r="A112" s="523">
        <v>90</v>
      </c>
      <c r="B112" s="1033">
        <v>511</v>
      </c>
      <c r="C112" s="1035" t="s">
        <v>4038</v>
      </c>
      <c r="D112" s="748">
        <v>0</v>
      </c>
      <c r="E112" s="1064"/>
      <c r="F112" s="1041"/>
      <c r="G112" s="1019"/>
      <c r="H112" s="1027">
        <v>3150000</v>
      </c>
    </row>
    <row r="113" spans="1:8">
      <c r="A113" s="1034">
        <v>91</v>
      </c>
      <c r="B113" s="554">
        <v>423</v>
      </c>
      <c r="C113" s="746" t="s">
        <v>3774</v>
      </c>
      <c r="D113" s="747">
        <v>0</v>
      </c>
      <c r="E113" s="1064"/>
      <c r="F113" s="1041"/>
      <c r="G113" s="1019"/>
      <c r="H113" s="1027"/>
    </row>
    <row r="114" spans="1:8" ht="15.75" thickBot="1">
      <c r="A114" s="523">
        <v>92</v>
      </c>
      <c r="B114" s="1033">
        <v>511</v>
      </c>
      <c r="C114" s="1035" t="s">
        <v>4038</v>
      </c>
      <c r="D114" s="748">
        <v>6200000</v>
      </c>
      <c r="E114" s="1064"/>
      <c r="F114" s="1041"/>
      <c r="G114" s="1019"/>
      <c r="H114" s="1027"/>
    </row>
    <row r="115" spans="1:8">
      <c r="A115" s="1034">
        <v>93</v>
      </c>
      <c r="B115" s="888">
        <v>423</v>
      </c>
      <c r="C115" s="889" t="s">
        <v>3774</v>
      </c>
      <c r="D115" s="890">
        <v>0</v>
      </c>
      <c r="E115" s="1064"/>
      <c r="F115" s="1041"/>
      <c r="G115" s="1019"/>
      <c r="H115" s="1027">
        <v>50000</v>
      </c>
    </row>
    <row r="116" spans="1:8" ht="15.75" thickBot="1">
      <c r="A116" s="523">
        <v>94</v>
      </c>
      <c r="B116" s="1031">
        <v>511</v>
      </c>
      <c r="C116" s="1036" t="s">
        <v>4038</v>
      </c>
      <c r="D116" s="891">
        <v>0</v>
      </c>
      <c r="E116" s="1064"/>
      <c r="F116" s="1041"/>
      <c r="G116" s="1019"/>
      <c r="H116" s="1027">
        <v>2000000</v>
      </c>
    </row>
    <row r="117" spans="1:8">
      <c r="A117" s="1034">
        <v>95</v>
      </c>
      <c r="B117" s="554">
        <v>423</v>
      </c>
      <c r="C117" s="746" t="s">
        <v>3774</v>
      </c>
      <c r="D117" s="747">
        <v>0</v>
      </c>
      <c r="E117" s="1064"/>
      <c r="F117" s="1041"/>
      <c r="G117" s="1019"/>
      <c r="H117" s="1027"/>
    </row>
    <row r="118" spans="1:8" ht="15.75" thickBot="1">
      <c r="A118" s="523">
        <v>96</v>
      </c>
      <c r="B118" s="1033">
        <v>511</v>
      </c>
      <c r="C118" s="1035" t="s">
        <v>4038</v>
      </c>
      <c r="D118" s="748">
        <v>0</v>
      </c>
      <c r="E118" s="1064"/>
      <c r="F118" s="1041"/>
      <c r="G118" s="1019"/>
      <c r="H118" s="1027">
        <v>2500000</v>
      </c>
    </row>
    <row r="119" spans="1:8" ht="15.75" thickBot="1">
      <c r="A119" s="523">
        <v>97</v>
      </c>
      <c r="B119" s="1031">
        <v>511</v>
      </c>
      <c r="C119" s="1037" t="s">
        <v>4038</v>
      </c>
      <c r="D119" s="1053">
        <v>0</v>
      </c>
      <c r="E119" s="1064"/>
      <c r="F119" s="1041"/>
      <c r="G119" s="1019">
        <v>12000000</v>
      </c>
      <c r="H119" s="1027">
        <v>10000000</v>
      </c>
    </row>
    <row r="120" spans="1:8" ht="15.75" thickBot="1">
      <c r="A120" s="522">
        <v>98</v>
      </c>
      <c r="B120" s="1033">
        <v>511</v>
      </c>
      <c r="C120" s="990" t="s">
        <v>4038</v>
      </c>
      <c r="D120" s="748">
        <v>0</v>
      </c>
      <c r="E120" s="1067"/>
      <c r="F120" s="1042"/>
      <c r="G120" s="1038">
        <v>18000000</v>
      </c>
      <c r="H120" s="1039"/>
    </row>
    <row r="121" spans="1:8" ht="15.75" thickBot="1">
      <c r="A121" s="996"/>
      <c r="B121" s="996"/>
      <c r="C121" s="996"/>
      <c r="D121" s="996"/>
      <c r="E121" s="1068"/>
      <c r="F121" s="1062"/>
      <c r="G121" s="1043"/>
      <c r="H121" s="1043"/>
    </row>
    <row r="122" spans="1:8" ht="15.75" thickBot="1">
      <c r="A122" s="212">
        <v>99</v>
      </c>
      <c r="B122" s="484">
        <v>424</v>
      </c>
      <c r="C122" s="1044" t="s">
        <v>3776</v>
      </c>
      <c r="D122" s="480">
        <v>14530000</v>
      </c>
      <c r="E122" s="1064"/>
      <c r="F122" s="1041"/>
      <c r="G122" s="1019"/>
      <c r="H122" s="1019"/>
    </row>
    <row r="123" spans="1:8">
      <c r="A123" s="677">
        <v>100</v>
      </c>
      <c r="B123" s="934">
        <v>4512</v>
      </c>
      <c r="C123" s="935" t="s">
        <v>4573</v>
      </c>
      <c r="D123" s="890">
        <v>0</v>
      </c>
      <c r="E123" s="1064"/>
      <c r="F123" s="1041"/>
      <c r="G123" s="1019"/>
      <c r="H123" s="1019"/>
    </row>
    <row r="124" spans="1:8" ht="15.75" thickBot="1">
      <c r="A124" s="378">
        <v>101</v>
      </c>
      <c r="B124" s="676">
        <v>511</v>
      </c>
      <c r="C124" s="687" t="s">
        <v>4038</v>
      </c>
      <c r="D124" s="605">
        <v>800000</v>
      </c>
      <c r="E124" s="1064"/>
      <c r="F124" s="1041"/>
      <c r="G124" s="1019">
        <v>4000000</v>
      </c>
      <c r="H124" s="1019"/>
    </row>
    <row r="125" spans="1:8">
      <c r="A125" s="212">
        <v>102</v>
      </c>
      <c r="B125" s="619">
        <v>511</v>
      </c>
      <c r="C125" s="623" t="s">
        <v>4038</v>
      </c>
      <c r="D125" s="620">
        <v>0</v>
      </c>
      <c r="E125" s="1064"/>
      <c r="F125" s="1041"/>
      <c r="G125" s="1019">
        <v>12000000</v>
      </c>
      <c r="H125" s="1019">
        <v>0</v>
      </c>
    </row>
    <row r="126" spans="1:8" ht="15.75" thickBot="1">
      <c r="A126" s="212" t="s">
        <v>4660</v>
      </c>
      <c r="B126" s="619">
        <v>512</v>
      </c>
      <c r="C126" s="623" t="s">
        <v>4039</v>
      </c>
      <c r="D126" s="620">
        <v>0</v>
      </c>
      <c r="E126" s="1064"/>
      <c r="F126" s="1041"/>
      <c r="G126" s="1019">
        <v>4100000</v>
      </c>
      <c r="H126" s="1019"/>
    </row>
    <row r="127" spans="1:8">
      <c r="A127" s="662">
        <v>103.104</v>
      </c>
      <c r="B127" s="554">
        <v>421</v>
      </c>
      <c r="C127" s="698" t="s">
        <v>3772</v>
      </c>
      <c r="D127" s="700">
        <v>450000</v>
      </c>
      <c r="E127" s="1064"/>
      <c r="F127" s="1041"/>
      <c r="G127" s="1019"/>
      <c r="H127" s="1019"/>
    </row>
    <row r="128" spans="1:8">
      <c r="A128" s="662">
        <v>104</v>
      </c>
      <c r="B128" s="1045">
        <v>424</v>
      </c>
      <c r="C128" s="1046" t="s">
        <v>3776</v>
      </c>
      <c r="D128" s="1004">
        <v>1400000</v>
      </c>
      <c r="E128" s="1064"/>
      <c r="F128" s="1041"/>
      <c r="G128" s="1019"/>
      <c r="H128" s="1019"/>
    </row>
    <row r="129" spans="1:8" ht="15.75" thickBot="1">
      <c r="A129" s="212">
        <v>105</v>
      </c>
      <c r="B129" s="307">
        <v>481</v>
      </c>
      <c r="C129" s="699" t="s">
        <v>4260</v>
      </c>
      <c r="D129" s="605">
        <v>750000</v>
      </c>
      <c r="E129" s="1064"/>
      <c r="F129" s="1041"/>
      <c r="G129" s="1019"/>
      <c r="H129" s="1019"/>
    </row>
    <row r="130" spans="1:8" ht="15.75" thickBot="1">
      <c r="A130" s="996"/>
      <c r="B130" s="996"/>
      <c r="C130" s="996"/>
      <c r="D130" s="996"/>
      <c r="E130" s="1065"/>
      <c r="F130" s="1060"/>
      <c r="G130" s="1020"/>
      <c r="H130" s="1020"/>
    </row>
    <row r="131" spans="1:8">
      <c r="A131" s="212">
        <v>106</v>
      </c>
      <c r="B131" s="484">
        <v>421</v>
      </c>
      <c r="C131" s="555" t="s">
        <v>3772</v>
      </c>
      <c r="D131" s="480">
        <v>15300000</v>
      </c>
      <c r="E131" s="1064"/>
      <c r="F131" s="1041"/>
      <c r="G131" s="1019"/>
      <c r="H131" s="1019"/>
    </row>
    <row r="132" spans="1:8" ht="15.75" thickBot="1">
      <c r="A132" s="892" t="s">
        <v>4654</v>
      </c>
      <c r="B132" s="1031">
        <v>425</v>
      </c>
      <c r="C132" s="1032" t="s">
        <v>4033</v>
      </c>
      <c r="D132" s="1013">
        <v>270000</v>
      </c>
      <c r="E132" s="1064"/>
      <c r="F132" s="1041"/>
      <c r="G132" s="1019"/>
      <c r="H132" s="1019"/>
    </row>
    <row r="133" spans="1:8" ht="15.75" thickBot="1">
      <c r="A133" s="212">
        <v>107</v>
      </c>
      <c r="B133" s="491">
        <v>421</v>
      </c>
      <c r="C133" s="555" t="s">
        <v>3772</v>
      </c>
      <c r="D133" s="569">
        <v>27000000</v>
      </c>
      <c r="E133" s="1064"/>
      <c r="F133" s="1041"/>
      <c r="G133" s="1019"/>
      <c r="H133" s="1019"/>
    </row>
    <row r="134" spans="1:8" ht="15.75" thickBot="1">
      <c r="A134" s="212">
        <v>108</v>
      </c>
      <c r="B134" s="702">
        <v>4512</v>
      </c>
      <c r="C134" s="932" t="s">
        <v>4277</v>
      </c>
      <c r="D134" s="513">
        <v>2450000</v>
      </c>
      <c r="E134" s="1064"/>
      <c r="F134" s="1041"/>
      <c r="G134" s="1019"/>
      <c r="H134" s="1019"/>
    </row>
    <row r="135" spans="1:8" ht="30.75" thickBot="1">
      <c r="A135" s="212" t="s">
        <v>4669</v>
      </c>
      <c r="B135" s="534">
        <v>621</v>
      </c>
      <c r="C135" s="933" t="s">
        <v>4668</v>
      </c>
      <c r="D135" s="658">
        <v>2100000</v>
      </c>
      <c r="E135" s="1064"/>
      <c r="F135" s="1041"/>
      <c r="G135" s="1019"/>
      <c r="H135" s="1019"/>
    </row>
    <row r="136" spans="1:8" ht="15.75" thickBot="1">
      <c r="A136" s="212">
        <v>121</v>
      </c>
      <c r="B136" s="491">
        <v>451</v>
      </c>
      <c r="C136" s="496" t="s">
        <v>4667</v>
      </c>
      <c r="D136" s="658">
        <v>0</v>
      </c>
      <c r="E136" s="1064"/>
      <c r="F136" s="1041"/>
      <c r="G136" s="1019"/>
      <c r="H136" s="1019">
        <v>9000000</v>
      </c>
    </row>
    <row r="137" spans="1:8" ht="30.75" thickBot="1">
      <c r="A137" s="212" t="s">
        <v>4644</v>
      </c>
      <c r="B137" s="534">
        <v>621</v>
      </c>
      <c r="C137" s="933" t="s">
        <v>4668</v>
      </c>
      <c r="D137" s="658">
        <v>2000000</v>
      </c>
      <c r="E137" s="1064"/>
      <c r="F137" s="1041"/>
      <c r="G137" s="1019">
        <v>0</v>
      </c>
      <c r="H137" s="1019">
        <v>9600000</v>
      </c>
    </row>
    <row r="138" spans="1:8" ht="15.75" thickBot="1">
      <c r="A138" s="212" t="s">
        <v>4718</v>
      </c>
      <c r="B138" s="384">
        <v>423</v>
      </c>
      <c r="C138" s="555" t="s">
        <v>3774</v>
      </c>
      <c r="D138" s="658"/>
      <c r="E138" s="1139"/>
      <c r="F138" s="1041"/>
      <c r="G138" s="1019"/>
      <c r="H138" s="1019">
        <v>600000</v>
      </c>
    </row>
    <row r="139" spans="1:8" ht="15.75" thickBot="1">
      <c r="A139" s="212">
        <v>122</v>
      </c>
      <c r="B139" s="384">
        <v>511</v>
      </c>
      <c r="C139" s="571" t="s">
        <v>4038</v>
      </c>
      <c r="D139" s="658"/>
      <c r="E139" s="1064"/>
      <c r="F139" s="1041"/>
      <c r="G139" s="1019"/>
      <c r="H139" s="1019">
        <v>2000000</v>
      </c>
    </row>
    <row r="140" spans="1:8">
      <c r="A140" s="212">
        <v>123</v>
      </c>
      <c r="B140" s="484">
        <v>423</v>
      </c>
      <c r="C140" s="555" t="s">
        <v>3774</v>
      </c>
      <c r="D140" s="480">
        <v>0</v>
      </c>
      <c r="E140" s="1064"/>
      <c r="F140" s="1041"/>
      <c r="G140" s="1019"/>
      <c r="H140" s="1019">
        <v>100000</v>
      </c>
    </row>
    <row r="141" spans="1:8" ht="15.75" thickBot="1">
      <c r="A141" s="212">
        <v>124</v>
      </c>
      <c r="B141" s="1033">
        <v>511</v>
      </c>
      <c r="C141" s="990" t="s">
        <v>4038</v>
      </c>
      <c r="D141" s="1014">
        <v>0</v>
      </c>
      <c r="E141" s="1064"/>
      <c r="F141" s="1041"/>
      <c r="G141" s="1019"/>
      <c r="H141" s="1019">
        <v>2500000</v>
      </c>
    </row>
    <row r="142" spans="1:8">
      <c r="A142" s="378">
        <v>125</v>
      </c>
      <c r="B142" s="554">
        <v>421</v>
      </c>
      <c r="C142" s="555" t="s">
        <v>3772</v>
      </c>
      <c r="D142" s="500">
        <v>14000000</v>
      </c>
      <c r="E142" s="1064"/>
      <c r="F142" s="1041"/>
      <c r="G142" s="1019"/>
      <c r="H142" s="1019"/>
    </row>
    <row r="143" spans="1:8">
      <c r="A143" s="378">
        <v>126</v>
      </c>
      <c r="B143" s="936">
        <v>424</v>
      </c>
      <c r="C143" s="1026" t="s">
        <v>3776</v>
      </c>
      <c r="D143" s="937">
        <v>0</v>
      </c>
      <c r="E143" s="1064"/>
      <c r="F143" s="1041"/>
      <c r="G143" s="1019"/>
      <c r="H143" s="1019"/>
    </row>
    <row r="144" spans="1:8">
      <c r="A144" s="378">
        <v>127</v>
      </c>
      <c r="B144" s="927">
        <v>425</v>
      </c>
      <c r="C144" s="1028" t="s">
        <v>4033</v>
      </c>
      <c r="D144" s="494">
        <v>9100000</v>
      </c>
      <c r="E144" s="1064"/>
      <c r="F144" s="1041"/>
      <c r="G144" s="1019"/>
      <c r="H144" s="1019"/>
    </row>
    <row r="145" spans="1:8">
      <c r="A145" s="378">
        <v>128</v>
      </c>
      <c r="B145" s="1025">
        <v>426</v>
      </c>
      <c r="C145" s="1026" t="s">
        <v>3780</v>
      </c>
      <c r="D145" s="896">
        <v>1950000</v>
      </c>
      <c r="E145" s="1064"/>
      <c r="F145" s="1041"/>
      <c r="G145" s="1019"/>
      <c r="H145" s="1019"/>
    </row>
    <row r="146" spans="1:8" ht="15.75" thickBot="1">
      <c r="A146" s="378">
        <v>129</v>
      </c>
      <c r="B146" s="1033">
        <v>511</v>
      </c>
      <c r="C146" s="990" t="s">
        <v>4038</v>
      </c>
      <c r="D146" s="1014">
        <v>200000</v>
      </c>
      <c r="E146" s="1064"/>
      <c r="F146" s="1041"/>
      <c r="G146" s="1019">
        <v>1100000</v>
      </c>
      <c r="H146" s="1019"/>
    </row>
    <row r="147" spans="1:8" ht="15.75" thickBot="1">
      <c r="A147" s="996"/>
      <c r="B147" s="996"/>
      <c r="C147" s="996"/>
      <c r="D147" s="996"/>
      <c r="E147" s="1065"/>
      <c r="F147" s="1060"/>
      <c r="G147" s="1020"/>
      <c r="H147" s="1020"/>
    </row>
    <row r="148" spans="1:8">
      <c r="A148" s="212">
        <v>109</v>
      </c>
      <c r="B148" s="493">
        <v>421</v>
      </c>
      <c r="C148" s="476" t="s">
        <v>3772</v>
      </c>
      <c r="D148" s="1054">
        <v>30000</v>
      </c>
      <c r="E148" s="1064"/>
      <c r="F148" s="1041"/>
      <c r="G148" s="1019"/>
      <c r="H148" s="1019"/>
    </row>
    <row r="149" spans="1:8">
      <c r="A149" s="212">
        <v>110</v>
      </c>
      <c r="B149" s="1046">
        <v>422</v>
      </c>
      <c r="C149" s="1047" t="s">
        <v>3773</v>
      </c>
      <c r="D149" s="1055">
        <v>0</v>
      </c>
      <c r="E149" s="1064"/>
      <c r="F149" s="1041"/>
      <c r="G149" s="1019"/>
      <c r="H149" s="1019"/>
    </row>
    <row r="150" spans="1:8">
      <c r="A150" s="212">
        <v>111</v>
      </c>
      <c r="B150" s="1046">
        <v>423</v>
      </c>
      <c r="C150" s="1047" t="s">
        <v>3774</v>
      </c>
      <c r="D150" s="1055">
        <v>800000</v>
      </c>
      <c r="E150" s="1064"/>
      <c r="F150" s="1041"/>
      <c r="G150" s="1019"/>
      <c r="H150" s="1019"/>
    </row>
    <row r="151" spans="1:8">
      <c r="A151" s="212">
        <v>112</v>
      </c>
      <c r="B151" s="1046">
        <v>424</v>
      </c>
      <c r="C151" s="1048" t="s">
        <v>3776</v>
      </c>
      <c r="D151" s="1005">
        <v>100000</v>
      </c>
      <c r="E151" s="1064"/>
      <c r="F151" s="1041"/>
      <c r="G151" s="1019"/>
      <c r="H151" s="1019"/>
    </row>
    <row r="152" spans="1:8">
      <c r="A152" s="212">
        <v>113</v>
      </c>
      <c r="B152" s="1046">
        <v>426</v>
      </c>
      <c r="C152" s="1048" t="s">
        <v>3780</v>
      </c>
      <c r="D152" s="1055">
        <v>100000</v>
      </c>
      <c r="E152" s="1064"/>
      <c r="F152" s="1041"/>
      <c r="G152" s="1019"/>
      <c r="H152" s="1019"/>
    </row>
    <row r="153" spans="1:8" ht="30">
      <c r="A153" s="212">
        <v>114</v>
      </c>
      <c r="B153" s="1049">
        <v>481</v>
      </c>
      <c r="C153" s="1050" t="s">
        <v>4472</v>
      </c>
      <c r="D153" s="1056">
        <v>2300000</v>
      </c>
      <c r="E153" s="1064"/>
      <c r="F153" s="1041"/>
      <c r="G153" s="1019"/>
      <c r="H153" s="1019">
        <v>3000000</v>
      </c>
    </row>
    <row r="154" spans="1:8">
      <c r="A154" s="212">
        <v>115</v>
      </c>
      <c r="B154" s="1046">
        <v>482</v>
      </c>
      <c r="C154" s="1047" t="s">
        <v>4035</v>
      </c>
      <c r="D154" s="1005">
        <v>0</v>
      </c>
      <c r="E154" s="1064"/>
      <c r="F154" s="1041"/>
      <c r="G154" s="1019"/>
      <c r="H154" s="1019"/>
    </row>
    <row r="155" spans="1:8" ht="15.75" thickBot="1">
      <c r="A155" s="212">
        <v>116</v>
      </c>
      <c r="B155" s="1046">
        <v>511</v>
      </c>
      <c r="C155" s="1051" t="s">
        <v>4038</v>
      </c>
      <c r="D155" s="1004">
        <v>500000</v>
      </c>
      <c r="E155" s="1064"/>
      <c r="F155" s="1041"/>
      <c r="G155" s="1019"/>
      <c r="H155" s="1019"/>
    </row>
    <row r="156" spans="1:8">
      <c r="A156" s="212" t="s">
        <v>4729</v>
      </c>
      <c r="B156" s="1138">
        <v>423</v>
      </c>
      <c r="C156" s="555" t="s">
        <v>3774</v>
      </c>
      <c r="D156" s="602"/>
      <c r="E156" s="1139">
        <v>600000</v>
      </c>
      <c r="F156" s="1041"/>
      <c r="G156" s="1019"/>
      <c r="H156" s="1019"/>
    </row>
    <row r="157" spans="1:8" ht="15.75" thickBot="1">
      <c r="A157" s="212" t="s">
        <v>4754</v>
      </c>
      <c r="B157" s="1046">
        <v>426</v>
      </c>
      <c r="C157" s="1048" t="s">
        <v>3780</v>
      </c>
      <c r="D157" s="602"/>
      <c r="E157" s="1139">
        <v>500000</v>
      </c>
      <c r="F157" s="1041"/>
      <c r="G157" s="1019"/>
      <c r="H157" s="1019"/>
    </row>
    <row r="158" spans="1:8" ht="30.75" thickBot="1">
      <c r="A158" s="212">
        <v>117</v>
      </c>
      <c r="B158" s="397">
        <v>451</v>
      </c>
      <c r="C158" s="497" t="s">
        <v>4455</v>
      </c>
      <c r="D158" s="1057">
        <v>0</v>
      </c>
      <c r="E158" s="1064"/>
      <c r="F158" s="1041"/>
      <c r="G158" s="1019">
        <v>0</v>
      </c>
      <c r="H158" s="1019">
        <v>2000000</v>
      </c>
    </row>
    <row r="159" spans="1:8" ht="15.75" thickBot="1">
      <c r="A159" s="212">
        <v>118</v>
      </c>
      <c r="B159" s="397">
        <v>454</v>
      </c>
      <c r="C159" s="497" t="s">
        <v>4456</v>
      </c>
      <c r="D159" s="1058">
        <v>0</v>
      </c>
      <c r="E159" s="1064">
        <v>4000000</v>
      </c>
      <c r="F159" s="1041"/>
      <c r="G159" s="1019">
        <v>1000000</v>
      </c>
      <c r="H159" s="1019">
        <v>5000000</v>
      </c>
    </row>
    <row r="160" spans="1:8" ht="45.75" thickBot="1">
      <c r="A160" s="212">
        <v>119</v>
      </c>
      <c r="B160" s="397">
        <v>481</v>
      </c>
      <c r="C160" s="661" t="s">
        <v>4473</v>
      </c>
      <c r="D160" s="1058">
        <v>0</v>
      </c>
      <c r="E160" s="1064"/>
      <c r="F160" s="1041"/>
      <c r="G160" s="1019">
        <v>500000</v>
      </c>
      <c r="H160" s="1019">
        <v>1000000</v>
      </c>
    </row>
    <row r="161" spans="1:8" ht="15.75" thickBot="1">
      <c r="A161" s="212">
        <v>120</v>
      </c>
      <c r="B161" s="1052">
        <v>541</v>
      </c>
      <c r="C161" s="939" t="s">
        <v>4041</v>
      </c>
      <c r="D161" s="1059">
        <v>0</v>
      </c>
      <c r="E161" s="1064"/>
      <c r="F161" s="1041"/>
      <c r="G161" s="1019">
        <v>3650000</v>
      </c>
      <c r="H161" s="1019">
        <v>0</v>
      </c>
    </row>
    <row r="162" spans="1:8" ht="15.75" thickBot="1">
      <c r="A162" s="996"/>
      <c r="B162" s="996"/>
      <c r="C162" s="996"/>
      <c r="D162" s="996"/>
      <c r="E162" s="1065"/>
      <c r="F162" s="1060"/>
      <c r="G162" s="1020"/>
      <c r="H162" s="1020"/>
    </row>
    <row r="163" spans="1:8">
      <c r="A163" s="212">
        <v>130</v>
      </c>
      <c r="B163" s="484">
        <v>464</v>
      </c>
      <c r="C163" s="488" t="s">
        <v>4264</v>
      </c>
      <c r="D163" s="480">
        <v>13600000</v>
      </c>
      <c r="E163" s="1064"/>
      <c r="F163" s="1041"/>
      <c r="G163" s="1019"/>
      <c r="H163" s="1019"/>
    </row>
    <row r="164" spans="1:8" ht="15.75" thickBot="1">
      <c r="A164" s="212">
        <v>131</v>
      </c>
      <c r="B164" s="307">
        <v>424</v>
      </c>
      <c r="C164" s="562" t="s">
        <v>4331</v>
      </c>
      <c r="D164" s="308">
        <v>400000</v>
      </c>
      <c r="E164" s="1064"/>
      <c r="F164" s="1041"/>
      <c r="G164" s="1019"/>
      <c r="H164" s="1019"/>
    </row>
    <row r="165" spans="1:8" ht="15.75" thickBot="1">
      <c r="A165" s="996"/>
      <c r="B165" s="996"/>
      <c r="C165" s="996"/>
      <c r="D165" s="996"/>
      <c r="E165" s="1065"/>
      <c r="F165" s="1060"/>
      <c r="G165" s="1020"/>
      <c r="H165" s="1020"/>
    </row>
    <row r="166" spans="1:8" ht="15.75" thickBot="1">
      <c r="A166" s="660">
        <v>132</v>
      </c>
      <c r="B166" s="534">
        <v>481</v>
      </c>
      <c r="C166" s="492" t="s">
        <v>4260</v>
      </c>
      <c r="D166" s="658">
        <v>22000000</v>
      </c>
      <c r="E166" s="1064"/>
      <c r="F166" s="1041"/>
      <c r="G166" s="1019"/>
      <c r="H166" s="1019"/>
    </row>
    <row r="167" spans="1:8">
      <c r="A167" s="212" t="s">
        <v>4656</v>
      </c>
      <c r="B167" s="484">
        <v>423</v>
      </c>
      <c r="C167" s="555" t="s">
        <v>3774</v>
      </c>
      <c r="D167" s="480">
        <v>0</v>
      </c>
      <c r="E167" s="1064"/>
      <c r="F167" s="1041"/>
      <c r="G167" s="1019">
        <v>0</v>
      </c>
      <c r="H167" s="1019"/>
    </row>
    <row r="168" spans="1:8" ht="15.75" thickBot="1">
      <c r="A168" s="212" t="s">
        <v>4657</v>
      </c>
      <c r="B168" s="742">
        <v>511</v>
      </c>
      <c r="C168" s="743" t="s">
        <v>4038</v>
      </c>
      <c r="D168" s="1014">
        <v>0</v>
      </c>
      <c r="E168" s="1064">
        <v>0</v>
      </c>
      <c r="F168" s="1041"/>
      <c r="G168" s="1019">
        <v>0</v>
      </c>
      <c r="H168" s="1019"/>
    </row>
    <row r="169" spans="1:8">
      <c r="A169" s="212" t="s">
        <v>4671</v>
      </c>
      <c r="B169" s="484">
        <v>423</v>
      </c>
      <c r="C169" s="555" t="s">
        <v>3774</v>
      </c>
      <c r="D169" s="480">
        <v>200000</v>
      </c>
      <c r="E169" s="1064"/>
      <c r="F169" s="1041"/>
      <c r="G169" s="1019"/>
      <c r="H169" s="1019"/>
    </row>
    <row r="170" spans="1:8" ht="15.75" thickBot="1">
      <c r="A170" s="212" t="s">
        <v>4672</v>
      </c>
      <c r="B170" s="742">
        <v>511</v>
      </c>
      <c r="C170" s="743" t="s">
        <v>4038</v>
      </c>
      <c r="D170" s="744">
        <v>1600000</v>
      </c>
      <c r="E170" s="1064"/>
      <c r="F170" s="1041"/>
      <c r="G170" s="1019"/>
      <c r="H170" s="1019"/>
    </row>
    <row r="171" spans="1:8">
      <c r="A171" s="378">
        <v>135</v>
      </c>
      <c r="B171" s="554">
        <v>422</v>
      </c>
      <c r="C171" s="488" t="s">
        <v>3773</v>
      </c>
      <c r="D171" s="500">
        <v>50000</v>
      </c>
      <c r="E171" s="1064"/>
      <c r="F171" s="1041"/>
      <c r="G171" s="1019"/>
      <c r="H171" s="1019"/>
    </row>
    <row r="172" spans="1:8">
      <c r="A172" s="212">
        <v>136</v>
      </c>
      <c r="B172" s="575">
        <v>423</v>
      </c>
      <c r="C172" s="678" t="s">
        <v>3774</v>
      </c>
      <c r="D172" s="609">
        <v>550000</v>
      </c>
      <c r="E172" s="1064"/>
      <c r="F172" s="1041"/>
      <c r="G172" s="1019"/>
      <c r="H172" s="1019"/>
    </row>
    <row r="173" spans="1:8">
      <c r="A173" s="212">
        <v>137</v>
      </c>
      <c r="B173" s="583">
        <v>426</v>
      </c>
      <c r="C173" s="678" t="s">
        <v>3780</v>
      </c>
      <c r="D173" s="494">
        <v>100000</v>
      </c>
      <c r="E173" s="1064"/>
      <c r="F173" s="1041"/>
      <c r="G173" s="1019"/>
      <c r="H173" s="1019"/>
    </row>
    <row r="174" spans="1:8" ht="15.75" thickBot="1">
      <c r="A174" s="212">
        <v>138</v>
      </c>
      <c r="B174" s="738">
        <v>481</v>
      </c>
      <c r="C174" s="679" t="s">
        <v>4034</v>
      </c>
      <c r="D174" s="739">
        <v>1000000</v>
      </c>
      <c r="E174" s="1064"/>
      <c r="F174" s="1041"/>
      <c r="G174" s="1019"/>
      <c r="H174" s="1019"/>
    </row>
    <row r="175" spans="1:8" ht="15.75" thickBot="1">
      <c r="A175" s="996"/>
      <c r="B175" s="996"/>
      <c r="C175" s="996"/>
      <c r="D175" s="996"/>
      <c r="E175" s="1065"/>
      <c r="F175" s="1060"/>
      <c r="G175" s="1020"/>
      <c r="H175" s="1020"/>
    </row>
    <row r="176" spans="1:8" ht="15.75" thickBot="1">
      <c r="A176" s="378">
        <v>133</v>
      </c>
      <c r="B176" s="534">
        <v>481</v>
      </c>
      <c r="C176" s="657" t="s">
        <v>4034</v>
      </c>
      <c r="D176" s="658">
        <v>2000000</v>
      </c>
      <c r="E176" s="1064"/>
      <c r="F176" s="1041"/>
      <c r="G176" s="1019"/>
      <c r="H176" s="1019">
        <v>1500000</v>
      </c>
    </row>
    <row r="177" spans="1:8">
      <c r="A177" s="378">
        <v>134</v>
      </c>
      <c r="B177" s="554">
        <v>423</v>
      </c>
      <c r="C177" s="555" t="s">
        <v>3774</v>
      </c>
      <c r="D177" s="500">
        <v>3000000</v>
      </c>
      <c r="E177" s="1064"/>
      <c r="F177" s="1041"/>
      <c r="G177" s="1019"/>
      <c r="H177" s="1019"/>
    </row>
    <row r="178" spans="1:8" ht="15.75" thickBot="1">
      <c r="A178" s="996"/>
      <c r="B178" s="996"/>
      <c r="C178" s="996"/>
      <c r="D178" s="996"/>
      <c r="E178" s="1065"/>
      <c r="F178" s="1060"/>
      <c r="G178" s="1020"/>
      <c r="H178" s="1020"/>
    </row>
    <row r="179" spans="1:8">
      <c r="A179" s="384">
        <v>139</v>
      </c>
      <c r="B179" s="909">
        <v>423</v>
      </c>
      <c r="C179" s="908" t="s">
        <v>3774</v>
      </c>
      <c r="D179" s="994">
        <v>0</v>
      </c>
      <c r="E179" s="1064"/>
      <c r="F179" s="1041"/>
      <c r="G179" s="1019"/>
      <c r="H179" s="1019"/>
    </row>
    <row r="180" spans="1:8" ht="15.75" thickBot="1">
      <c r="A180" s="522">
        <v>140</v>
      </c>
      <c r="B180" s="1069">
        <v>511</v>
      </c>
      <c r="C180" s="1070" t="s">
        <v>4038</v>
      </c>
      <c r="D180" s="993">
        <v>0</v>
      </c>
      <c r="E180" s="1064"/>
      <c r="F180" s="1041"/>
      <c r="G180" s="1019"/>
      <c r="H180" s="1019">
        <v>16400000</v>
      </c>
    </row>
    <row r="181" spans="1:8" ht="15.75" thickBot="1">
      <c r="A181" s="996"/>
      <c r="B181" s="996"/>
      <c r="C181" s="996"/>
      <c r="D181" s="996"/>
      <c r="E181" s="1065"/>
      <c r="F181" s="1060"/>
      <c r="G181" s="1020"/>
      <c r="H181" s="1020"/>
    </row>
    <row r="182" spans="1:8" ht="75">
      <c r="A182" s="212">
        <v>141</v>
      </c>
      <c r="B182" s="520">
        <v>4631</v>
      </c>
      <c r="C182" s="670" t="s">
        <v>4686</v>
      </c>
      <c r="D182" s="769">
        <v>38500000</v>
      </c>
      <c r="E182" s="1064"/>
      <c r="F182" s="1041"/>
      <c r="G182" s="1019"/>
      <c r="H182" s="1019"/>
    </row>
    <row r="183" spans="1:8" ht="75.75" thickBot="1">
      <c r="A183" s="892">
        <v>142</v>
      </c>
      <c r="B183" s="1071">
        <v>4632</v>
      </c>
      <c r="C183" s="893" t="s">
        <v>4691</v>
      </c>
      <c r="D183" s="1072">
        <v>6000000</v>
      </c>
      <c r="E183" s="1064"/>
      <c r="F183" s="1041"/>
      <c r="G183" s="1019"/>
      <c r="H183" s="1019"/>
    </row>
    <row r="184" spans="1:8">
      <c r="A184" s="378">
        <v>143</v>
      </c>
      <c r="B184" s="384">
        <v>423</v>
      </c>
      <c r="C184" s="488" t="s">
        <v>3774</v>
      </c>
      <c r="D184" s="766">
        <v>500000</v>
      </c>
      <c r="E184" s="1064"/>
      <c r="F184" s="1041"/>
      <c r="G184" s="1019"/>
      <c r="H184" s="1019"/>
    </row>
    <row r="185" spans="1:8" ht="15.75" thickBot="1">
      <c r="A185" s="378">
        <v>144</v>
      </c>
      <c r="B185" s="1031">
        <v>511</v>
      </c>
      <c r="C185" s="904" t="s">
        <v>4038</v>
      </c>
      <c r="D185" s="992">
        <v>1800000</v>
      </c>
      <c r="E185" s="1064">
        <v>19200000</v>
      </c>
      <c r="F185" s="1041"/>
      <c r="G185" s="1019"/>
      <c r="H185" s="1019"/>
    </row>
    <row r="186" spans="1:8" ht="15.75" thickBot="1">
      <c r="A186" s="996"/>
      <c r="B186" s="996"/>
      <c r="C186" s="996"/>
      <c r="D186" s="996"/>
      <c r="E186" s="1065"/>
      <c r="F186" s="1060"/>
      <c r="G186" s="1020"/>
      <c r="H186" s="1020"/>
    </row>
    <row r="187" spans="1:8" ht="45">
      <c r="A187" s="212">
        <v>145</v>
      </c>
      <c r="B187" s="484">
        <v>4631</v>
      </c>
      <c r="C187" s="488" t="s">
        <v>4684</v>
      </c>
      <c r="D187" s="740">
        <v>18000000</v>
      </c>
      <c r="E187" s="1064"/>
      <c r="F187" s="1041"/>
      <c r="G187" s="1019"/>
      <c r="H187" s="1019"/>
    </row>
    <row r="188" spans="1:8" ht="45">
      <c r="A188" s="212">
        <v>146</v>
      </c>
      <c r="B188" s="652">
        <v>4632</v>
      </c>
      <c r="C188" s="653" t="s">
        <v>4685</v>
      </c>
      <c r="D188" s="701">
        <v>4500000</v>
      </c>
      <c r="E188" s="1064"/>
      <c r="F188" s="1041"/>
      <c r="G188" s="1019"/>
      <c r="H188" s="1019"/>
    </row>
    <row r="189" spans="1:8">
      <c r="A189" s="996"/>
      <c r="B189" s="996"/>
      <c r="C189" s="996"/>
      <c r="D189" s="996"/>
      <c r="E189" s="1065"/>
      <c r="F189" s="1060"/>
      <c r="G189" s="1020"/>
      <c r="H189" s="1020"/>
    </row>
    <row r="190" spans="1:8" ht="36" customHeight="1" thickBot="1">
      <c r="A190" s="1073"/>
      <c r="B190" s="1073"/>
      <c r="C190" s="1073"/>
      <c r="D190" s="1142"/>
      <c r="E190" s="1142">
        <f t="shared" ref="E190:H190" si="0">SUM(E38:E189)</f>
        <v>42690000</v>
      </c>
      <c r="F190" s="1091">
        <f t="shared" si="0"/>
        <v>3580000</v>
      </c>
      <c r="G190" s="1091">
        <f t="shared" si="0"/>
        <v>95800000</v>
      </c>
      <c r="H190" s="1091">
        <f t="shared" si="0"/>
        <v>91000000</v>
      </c>
    </row>
    <row r="191" spans="1:8">
      <c r="A191" s="212">
        <v>147</v>
      </c>
      <c r="B191" s="520">
        <v>411</v>
      </c>
      <c r="C191" s="510" t="s">
        <v>4023</v>
      </c>
      <c r="D191" s="899">
        <v>30500000</v>
      </c>
      <c r="E191" s="1064">
        <v>0</v>
      </c>
      <c r="F191" s="1041"/>
      <c r="G191" s="1019"/>
      <c r="H191" s="1019"/>
    </row>
    <row r="192" spans="1:8">
      <c r="A192" s="212">
        <v>148</v>
      </c>
      <c r="B192" s="532">
        <v>412</v>
      </c>
      <c r="C192" s="511" t="s">
        <v>3759</v>
      </c>
      <c r="D192" s="896">
        <v>5570000</v>
      </c>
      <c r="E192" s="1064"/>
      <c r="F192" s="1041"/>
      <c r="G192" s="1019"/>
      <c r="H192" s="1019"/>
    </row>
    <row r="193" spans="1:9">
      <c r="A193" s="212">
        <v>149</v>
      </c>
      <c r="B193" s="532">
        <v>414</v>
      </c>
      <c r="C193" s="512" t="s">
        <v>3762</v>
      </c>
      <c r="D193" s="896">
        <v>1650000</v>
      </c>
      <c r="E193" s="1064"/>
      <c r="F193" s="1041"/>
      <c r="G193" s="1019"/>
      <c r="H193" s="1019"/>
      <c r="I193" s="985">
        <f>E196+E197+E198+E199+E200+E201+E202+E204</f>
        <v>8400000</v>
      </c>
    </row>
    <row r="194" spans="1:9">
      <c r="A194" s="212">
        <v>150</v>
      </c>
      <c r="B194" s="532">
        <v>415</v>
      </c>
      <c r="C194" s="512" t="s">
        <v>4031</v>
      </c>
      <c r="D194" s="475">
        <v>950000</v>
      </c>
      <c r="E194" s="1064"/>
      <c r="F194" s="1041"/>
      <c r="G194" s="1019"/>
      <c r="H194" s="1019"/>
      <c r="I194" s="985">
        <f>D191+D192+D193+D194+D195+D196+D197+D198+D199+D200+D201+D202+D203+D204</f>
        <v>48850000</v>
      </c>
    </row>
    <row r="195" spans="1:9">
      <c r="A195" s="212">
        <v>151</v>
      </c>
      <c r="B195" s="532">
        <v>416</v>
      </c>
      <c r="C195" s="512" t="s">
        <v>4032</v>
      </c>
      <c r="D195" s="475">
        <v>250000</v>
      </c>
      <c r="E195" s="1064"/>
      <c r="F195" s="1041"/>
      <c r="G195" s="1019"/>
      <c r="H195" s="1019"/>
    </row>
    <row r="196" spans="1:9">
      <c r="A196" s="212">
        <v>152</v>
      </c>
      <c r="B196" s="532">
        <v>421</v>
      </c>
      <c r="C196" s="512" t="s">
        <v>3772</v>
      </c>
      <c r="D196" s="475">
        <v>2470000</v>
      </c>
      <c r="E196" s="1064">
        <v>930000</v>
      </c>
      <c r="F196" s="1041"/>
      <c r="G196" s="1019"/>
      <c r="H196" s="1019"/>
    </row>
    <row r="197" spans="1:9">
      <c r="A197" s="212">
        <v>153</v>
      </c>
      <c r="B197" s="532">
        <v>422</v>
      </c>
      <c r="C197" s="512" t="s">
        <v>3773</v>
      </c>
      <c r="D197" s="475">
        <v>360000</v>
      </c>
      <c r="E197" s="1064">
        <v>220000</v>
      </c>
      <c r="F197" s="1041"/>
      <c r="G197" s="1019"/>
      <c r="H197" s="1019"/>
    </row>
    <row r="198" spans="1:9">
      <c r="A198" s="212">
        <v>154</v>
      </c>
      <c r="B198" s="532">
        <v>423</v>
      </c>
      <c r="C198" s="512" t="s">
        <v>3774</v>
      </c>
      <c r="D198" s="896">
        <v>2540000</v>
      </c>
      <c r="E198" s="1064">
        <v>1810000</v>
      </c>
      <c r="F198" s="1041"/>
      <c r="G198" s="1019"/>
      <c r="H198" s="1019"/>
    </row>
    <row r="199" spans="1:9">
      <c r="A199" s="212">
        <v>155</v>
      </c>
      <c r="B199" s="532">
        <v>424</v>
      </c>
      <c r="C199" s="512" t="s">
        <v>3776</v>
      </c>
      <c r="D199" s="494">
        <v>210000</v>
      </c>
      <c r="E199" s="1064">
        <v>140000</v>
      </c>
      <c r="F199" s="1041"/>
      <c r="G199" s="1019"/>
      <c r="H199" s="1019"/>
    </row>
    <row r="200" spans="1:9">
      <c r="A200" s="212">
        <v>156</v>
      </c>
      <c r="B200" s="532">
        <v>425</v>
      </c>
      <c r="C200" s="512" t="s">
        <v>4033</v>
      </c>
      <c r="D200" s="494">
        <v>60000</v>
      </c>
      <c r="E200" s="1064">
        <v>440000</v>
      </c>
      <c r="F200" s="1041"/>
      <c r="G200" s="1019"/>
      <c r="H200" s="1019"/>
    </row>
    <row r="201" spans="1:9">
      <c r="A201" s="212">
        <v>157</v>
      </c>
      <c r="B201" s="532">
        <v>426</v>
      </c>
      <c r="C201" s="512" t="s">
        <v>3780</v>
      </c>
      <c r="D201" s="896">
        <v>2240000</v>
      </c>
      <c r="E201" s="1064">
        <v>3060000</v>
      </c>
      <c r="F201" s="1041"/>
      <c r="G201" s="1019"/>
      <c r="H201" s="1019"/>
    </row>
    <row r="202" spans="1:9">
      <c r="A202" s="212">
        <v>158</v>
      </c>
      <c r="B202" s="532">
        <v>465</v>
      </c>
      <c r="C202" s="511" t="s">
        <v>4025</v>
      </c>
      <c r="D202" s="896">
        <v>1500000</v>
      </c>
      <c r="E202" s="1064">
        <v>1700000</v>
      </c>
      <c r="F202" s="1041"/>
      <c r="G202" s="1019"/>
      <c r="H202" s="1019"/>
    </row>
    <row r="203" spans="1:9">
      <c r="A203" s="212">
        <v>159</v>
      </c>
      <c r="B203" s="532">
        <v>482</v>
      </c>
      <c r="C203" s="511" t="s">
        <v>4035</v>
      </c>
      <c r="D203" s="494">
        <v>50000</v>
      </c>
      <c r="E203" s="1064"/>
      <c r="F203" s="1041"/>
      <c r="G203" s="1019"/>
      <c r="H203" s="1019"/>
    </row>
    <row r="204" spans="1:9" ht="15.75" thickBot="1">
      <c r="A204" s="212">
        <v>160</v>
      </c>
      <c r="B204" s="533">
        <v>512</v>
      </c>
      <c r="C204" s="531" t="s">
        <v>4039</v>
      </c>
      <c r="D204" s="897">
        <v>500000</v>
      </c>
      <c r="E204" s="1064">
        <v>100000</v>
      </c>
      <c r="F204" s="1041"/>
      <c r="G204" s="1019">
        <v>2500000</v>
      </c>
      <c r="H204" s="1019"/>
    </row>
    <row r="205" spans="1:9" ht="15.75" thickBot="1">
      <c r="A205" s="996"/>
      <c r="B205" s="996"/>
      <c r="C205" s="996"/>
      <c r="D205" s="996"/>
      <c r="E205" s="1065"/>
      <c r="F205" s="1060"/>
      <c r="G205" s="1020"/>
      <c r="H205" s="1020"/>
    </row>
    <row r="206" spans="1:9">
      <c r="A206" s="212">
        <v>161</v>
      </c>
      <c r="B206" s="888">
        <v>411</v>
      </c>
      <c r="C206" s="908" t="s">
        <v>4023</v>
      </c>
      <c r="D206" s="899">
        <v>6100000</v>
      </c>
      <c r="E206" s="1064"/>
      <c r="F206" s="1041"/>
      <c r="G206" s="1019"/>
      <c r="H206" s="1019"/>
    </row>
    <row r="207" spans="1:9">
      <c r="A207" s="212">
        <v>162</v>
      </c>
      <c r="B207" s="900">
        <v>412</v>
      </c>
      <c r="C207" s="960" t="s">
        <v>3759</v>
      </c>
      <c r="D207" s="896">
        <v>1100000</v>
      </c>
      <c r="E207" s="1064"/>
      <c r="F207" s="1041"/>
      <c r="G207" s="1019"/>
      <c r="H207" s="1019"/>
    </row>
    <row r="208" spans="1:9">
      <c r="A208" s="212">
        <v>163</v>
      </c>
      <c r="B208" s="799">
        <v>413</v>
      </c>
      <c r="C208" s="802" t="s">
        <v>4024</v>
      </c>
      <c r="D208" s="475">
        <v>70000</v>
      </c>
      <c r="E208" s="1064"/>
      <c r="F208" s="1041"/>
      <c r="G208" s="1019"/>
      <c r="H208" s="1019"/>
    </row>
    <row r="209" spans="1:8">
      <c r="A209" s="212">
        <v>164</v>
      </c>
      <c r="B209" s="900">
        <v>414</v>
      </c>
      <c r="C209" s="901" t="s">
        <v>3762</v>
      </c>
      <c r="D209" s="896">
        <v>890000</v>
      </c>
      <c r="E209" s="1064"/>
      <c r="F209" s="1041"/>
      <c r="G209" s="1019"/>
      <c r="H209" s="1019"/>
    </row>
    <row r="210" spans="1:8">
      <c r="A210" s="212">
        <v>165</v>
      </c>
      <c r="B210" s="799">
        <v>415</v>
      </c>
      <c r="C210" s="803" t="s">
        <v>4031</v>
      </c>
      <c r="D210" s="475">
        <v>70000</v>
      </c>
      <c r="E210" s="1064"/>
      <c r="F210" s="1041"/>
      <c r="G210" s="1019"/>
      <c r="H210" s="1019"/>
    </row>
    <row r="211" spans="1:8">
      <c r="A211" s="212">
        <v>166</v>
      </c>
      <c r="B211" s="799">
        <v>416</v>
      </c>
      <c r="C211" s="803" t="s">
        <v>4032</v>
      </c>
      <c r="D211" s="475">
        <v>0</v>
      </c>
      <c r="E211" s="1064"/>
      <c r="F211" s="1041"/>
      <c r="G211" s="1019"/>
      <c r="H211" s="1019"/>
    </row>
    <row r="212" spans="1:8">
      <c r="A212" s="212">
        <v>167</v>
      </c>
      <c r="B212" s="799">
        <v>421</v>
      </c>
      <c r="C212" s="803" t="s">
        <v>3772</v>
      </c>
      <c r="D212" s="896">
        <v>5640000</v>
      </c>
      <c r="E212" s="1064"/>
      <c r="F212" s="1041"/>
      <c r="G212" s="1019"/>
      <c r="H212" s="1019"/>
    </row>
    <row r="213" spans="1:8">
      <c r="A213" s="212">
        <v>168</v>
      </c>
      <c r="B213" s="799">
        <v>422</v>
      </c>
      <c r="C213" s="803" t="s">
        <v>3773</v>
      </c>
      <c r="D213" s="475">
        <v>50000</v>
      </c>
      <c r="E213" s="1064"/>
      <c r="F213" s="1041"/>
      <c r="G213" s="1019"/>
      <c r="H213" s="1019"/>
    </row>
    <row r="214" spans="1:8">
      <c r="A214" s="212">
        <v>169</v>
      </c>
      <c r="B214" s="900">
        <v>423</v>
      </c>
      <c r="C214" s="901" t="s">
        <v>3774</v>
      </c>
      <c r="D214" s="896">
        <v>3500000</v>
      </c>
      <c r="E214" s="1064"/>
      <c r="F214" s="1041"/>
      <c r="G214" s="1019"/>
      <c r="H214" s="1019"/>
    </row>
    <row r="215" spans="1:8">
      <c r="A215" s="212">
        <v>170</v>
      </c>
      <c r="B215" s="900">
        <v>424</v>
      </c>
      <c r="C215" s="901" t="s">
        <v>3776</v>
      </c>
      <c r="D215" s="896">
        <v>2150000</v>
      </c>
      <c r="E215" s="1064"/>
      <c r="F215" s="1041"/>
      <c r="G215" s="1019"/>
      <c r="H215" s="1019"/>
    </row>
    <row r="216" spans="1:8">
      <c r="A216" s="212">
        <v>171</v>
      </c>
      <c r="B216" s="900">
        <v>425</v>
      </c>
      <c r="C216" s="901" t="s">
        <v>4033</v>
      </c>
      <c r="D216" s="896">
        <v>1750000</v>
      </c>
      <c r="E216" s="1064"/>
      <c r="F216" s="1041"/>
      <c r="G216" s="1019"/>
      <c r="H216" s="1019"/>
    </row>
    <row r="217" spans="1:8">
      <c r="A217" s="212">
        <v>172</v>
      </c>
      <c r="B217" s="799">
        <v>426</v>
      </c>
      <c r="C217" s="803" t="s">
        <v>3780</v>
      </c>
      <c r="D217" s="475">
        <v>1050000</v>
      </c>
      <c r="E217" s="1064"/>
      <c r="F217" s="1041"/>
      <c r="G217" s="1019"/>
      <c r="H217" s="1019"/>
    </row>
    <row r="218" spans="1:8">
      <c r="A218" s="212">
        <v>173</v>
      </c>
      <c r="B218" s="799">
        <v>465</v>
      </c>
      <c r="C218" s="801" t="s">
        <v>4025</v>
      </c>
      <c r="D218" s="494">
        <v>1050000</v>
      </c>
      <c r="E218" s="1064"/>
      <c r="F218" s="1041"/>
      <c r="G218" s="1019"/>
      <c r="H218" s="1019"/>
    </row>
    <row r="219" spans="1:8">
      <c r="A219" s="212">
        <v>174</v>
      </c>
      <c r="B219" s="799">
        <v>482</v>
      </c>
      <c r="C219" s="803" t="s">
        <v>4035</v>
      </c>
      <c r="D219" s="475">
        <v>50000</v>
      </c>
      <c r="E219" s="1064"/>
      <c r="F219" s="1041"/>
      <c r="G219" s="1019"/>
      <c r="H219" s="1019"/>
    </row>
    <row r="220" spans="1:8">
      <c r="A220" s="212">
        <v>175</v>
      </c>
      <c r="B220" s="799">
        <v>483</v>
      </c>
      <c r="C220" s="803" t="s">
        <v>4036</v>
      </c>
      <c r="D220" s="475">
        <v>50000</v>
      </c>
      <c r="E220" s="1064"/>
      <c r="F220" s="1041"/>
      <c r="G220" s="1019"/>
      <c r="H220" s="1019"/>
    </row>
    <row r="221" spans="1:8">
      <c r="A221" s="212" t="s">
        <v>4653</v>
      </c>
      <c r="B221" s="902">
        <v>485</v>
      </c>
      <c r="C221" s="903" t="s">
        <v>4325</v>
      </c>
      <c r="D221" s="896">
        <v>190000</v>
      </c>
      <c r="E221" s="1064"/>
      <c r="F221" s="1041"/>
      <c r="G221" s="1019"/>
      <c r="H221" s="1019"/>
    </row>
    <row r="222" spans="1:8">
      <c r="A222" s="212">
        <v>176</v>
      </c>
      <c r="B222" s="900">
        <v>511</v>
      </c>
      <c r="C222" s="905" t="s">
        <v>4273</v>
      </c>
      <c r="D222" s="896">
        <v>7500000</v>
      </c>
      <c r="E222" s="1064"/>
      <c r="F222" s="1041"/>
      <c r="G222" s="1019"/>
      <c r="H222" s="1019"/>
    </row>
    <row r="223" spans="1:8">
      <c r="A223" s="212">
        <v>177</v>
      </c>
      <c r="B223" s="900">
        <v>512</v>
      </c>
      <c r="C223" s="901" t="s">
        <v>4039</v>
      </c>
      <c r="D223" s="896">
        <v>750000</v>
      </c>
      <c r="E223" s="1064"/>
      <c r="F223" s="1041"/>
      <c r="G223" s="1019"/>
      <c r="H223" s="1019"/>
    </row>
    <row r="224" spans="1:8">
      <c r="A224" s="212"/>
      <c r="B224" s="619">
        <v>522</v>
      </c>
      <c r="C224" s="804" t="s">
        <v>4463</v>
      </c>
      <c r="D224" s="620">
        <v>0</v>
      </c>
      <c r="E224" s="1064"/>
      <c r="F224" s="1041"/>
      <c r="G224" s="1019"/>
      <c r="H224" s="1019"/>
    </row>
    <row r="225" spans="1:8" ht="15.75" thickBot="1">
      <c r="A225" s="212"/>
      <c r="B225" s="800">
        <v>523</v>
      </c>
      <c r="C225" s="805" t="s">
        <v>3832</v>
      </c>
      <c r="D225" s="806">
        <v>0</v>
      </c>
      <c r="E225" s="1064"/>
      <c r="F225" s="1041"/>
      <c r="G225" s="1019"/>
      <c r="H225" s="1019"/>
    </row>
    <row r="226" spans="1:8" ht="15.75" thickBot="1">
      <c r="A226" s="996"/>
      <c r="B226" s="996"/>
      <c r="C226" s="996"/>
      <c r="D226" s="996"/>
      <c r="E226" s="1065"/>
      <c r="F226" s="1060"/>
      <c r="G226" s="1020"/>
      <c r="H226" s="1020"/>
    </row>
    <row r="227" spans="1:8">
      <c r="A227" s="212">
        <v>181</v>
      </c>
      <c r="B227" s="888">
        <v>411</v>
      </c>
      <c r="C227" s="908" t="s">
        <v>4023</v>
      </c>
      <c r="D227" s="899">
        <v>9000000</v>
      </c>
      <c r="E227" s="1064"/>
      <c r="F227" s="1041"/>
      <c r="G227" s="1019"/>
      <c r="H227" s="1019"/>
    </row>
    <row r="228" spans="1:8">
      <c r="A228" s="212">
        <v>182</v>
      </c>
      <c r="B228" s="894">
        <v>412</v>
      </c>
      <c r="C228" s="938" t="s">
        <v>3759</v>
      </c>
      <c r="D228" s="896">
        <v>1650000</v>
      </c>
      <c r="E228" s="1064"/>
      <c r="F228" s="1041"/>
      <c r="G228" s="1019"/>
      <c r="H228" s="1019"/>
    </row>
    <row r="229" spans="1:8">
      <c r="A229" s="212">
        <v>184</v>
      </c>
      <c r="B229" s="487">
        <v>414</v>
      </c>
      <c r="C229" s="477" t="s">
        <v>3762</v>
      </c>
      <c r="D229" s="475">
        <v>100000</v>
      </c>
      <c r="E229" s="1064"/>
      <c r="F229" s="1041"/>
      <c r="G229" s="1019"/>
      <c r="H229" s="1019"/>
    </row>
    <row r="230" spans="1:8">
      <c r="A230" s="212">
        <v>185</v>
      </c>
      <c r="B230" s="487">
        <v>415</v>
      </c>
      <c r="C230" s="477" t="s">
        <v>4031</v>
      </c>
      <c r="D230" s="475">
        <v>300000</v>
      </c>
      <c r="E230" s="1064"/>
      <c r="F230" s="1041"/>
      <c r="G230" s="1019"/>
      <c r="H230" s="1019"/>
    </row>
    <row r="231" spans="1:8">
      <c r="A231" s="212">
        <v>186</v>
      </c>
      <c r="B231" s="487">
        <v>416</v>
      </c>
      <c r="C231" s="477" t="s">
        <v>4032</v>
      </c>
      <c r="D231" s="475">
        <v>100000</v>
      </c>
      <c r="E231" s="1064"/>
      <c r="F231" s="1041"/>
      <c r="G231" s="1019"/>
      <c r="H231" s="1019"/>
    </row>
    <row r="232" spans="1:8">
      <c r="A232" s="212">
        <v>187</v>
      </c>
      <c r="B232" s="894">
        <v>421</v>
      </c>
      <c r="C232" s="895" t="s">
        <v>3772</v>
      </c>
      <c r="D232" s="896">
        <v>3400000</v>
      </c>
      <c r="E232" s="1064"/>
      <c r="F232" s="1041"/>
      <c r="G232" s="1019"/>
      <c r="H232" s="1019"/>
    </row>
    <row r="233" spans="1:8">
      <c r="A233" s="212">
        <v>188</v>
      </c>
      <c r="B233" s="487">
        <v>422</v>
      </c>
      <c r="C233" s="477" t="s">
        <v>3773</v>
      </c>
      <c r="D233" s="475">
        <v>100000</v>
      </c>
      <c r="E233" s="1064"/>
      <c r="F233" s="1041"/>
      <c r="G233" s="1019"/>
      <c r="H233" s="1019"/>
    </row>
    <row r="234" spans="1:8">
      <c r="A234" s="212">
        <v>189</v>
      </c>
      <c r="B234" s="894">
        <v>423</v>
      </c>
      <c r="C234" s="895" t="s">
        <v>3774</v>
      </c>
      <c r="D234" s="896">
        <v>2100000</v>
      </c>
      <c r="E234" s="1064"/>
      <c r="F234" s="1041"/>
      <c r="G234" s="1019"/>
      <c r="H234" s="1019"/>
    </row>
    <row r="235" spans="1:8">
      <c r="A235" s="212">
        <v>190</v>
      </c>
      <c r="B235" s="487">
        <v>424</v>
      </c>
      <c r="C235" s="477" t="s">
        <v>3776</v>
      </c>
      <c r="D235" s="475">
        <v>300000</v>
      </c>
      <c r="E235" s="1064"/>
      <c r="F235" s="1041"/>
      <c r="G235" s="1019"/>
      <c r="H235" s="1019"/>
    </row>
    <row r="236" spans="1:8">
      <c r="A236" s="212">
        <v>191</v>
      </c>
      <c r="B236" s="894">
        <v>425</v>
      </c>
      <c r="C236" s="895" t="s">
        <v>4033</v>
      </c>
      <c r="D236" s="896">
        <v>1440000</v>
      </c>
      <c r="E236" s="1064"/>
      <c r="F236" s="1041"/>
      <c r="G236" s="1019"/>
      <c r="H236" s="1019"/>
    </row>
    <row r="237" spans="1:8">
      <c r="A237" s="212">
        <v>192</v>
      </c>
      <c r="B237" s="487">
        <v>426</v>
      </c>
      <c r="C237" s="477" t="s">
        <v>3780</v>
      </c>
      <c r="D237" s="475">
        <v>710000</v>
      </c>
      <c r="E237" s="1064"/>
      <c r="F237" s="1041"/>
      <c r="G237" s="1019"/>
      <c r="H237" s="1019"/>
    </row>
    <row r="238" spans="1:8">
      <c r="A238" s="212">
        <v>183</v>
      </c>
      <c r="B238" s="487">
        <v>465</v>
      </c>
      <c r="C238" s="486" t="s">
        <v>4025</v>
      </c>
      <c r="D238" s="494">
        <v>1000000</v>
      </c>
      <c r="E238" s="1064"/>
      <c r="F238" s="1041"/>
      <c r="G238" s="1019"/>
      <c r="H238" s="1019"/>
    </row>
    <row r="239" spans="1:8">
      <c r="A239" s="212">
        <v>193</v>
      </c>
      <c r="B239" s="487">
        <v>482</v>
      </c>
      <c r="C239" s="477" t="s">
        <v>4035</v>
      </c>
      <c r="D239" s="475">
        <v>50000</v>
      </c>
      <c r="E239" s="1064"/>
      <c r="F239" s="1041"/>
      <c r="G239" s="1019"/>
      <c r="H239" s="1019"/>
    </row>
    <row r="240" spans="1:8">
      <c r="A240" s="212">
        <v>194</v>
      </c>
      <c r="B240" s="894">
        <v>483</v>
      </c>
      <c r="C240" s="895" t="s">
        <v>4036</v>
      </c>
      <c r="D240" s="896">
        <v>500000</v>
      </c>
      <c r="E240" s="1064"/>
      <c r="F240" s="1041"/>
      <c r="G240" s="1019"/>
      <c r="H240" s="1019"/>
    </row>
    <row r="241" spans="1:9">
      <c r="A241" s="212">
        <v>195</v>
      </c>
      <c r="B241" s="966">
        <v>511</v>
      </c>
      <c r="C241" s="967" t="s">
        <v>4273</v>
      </c>
      <c r="D241" s="968">
        <v>2900000</v>
      </c>
      <c r="E241" s="1064"/>
      <c r="F241" s="1041"/>
      <c r="G241" s="1019"/>
      <c r="H241" s="1019"/>
    </row>
    <row r="242" spans="1:9" ht="15.75" thickBot="1">
      <c r="A242" s="212">
        <v>196</v>
      </c>
      <c r="B242" s="969">
        <v>512</v>
      </c>
      <c r="C242" s="970" t="s">
        <v>4039</v>
      </c>
      <c r="D242" s="495">
        <v>150000</v>
      </c>
      <c r="E242" s="1064"/>
      <c r="F242" s="1041"/>
      <c r="G242" s="1019"/>
      <c r="H242" s="1019"/>
    </row>
    <row r="243" spans="1:9" ht="15.75" thickBot="1">
      <c r="A243" s="212">
        <v>197</v>
      </c>
      <c r="B243" s="485">
        <v>515</v>
      </c>
      <c r="C243" s="478" t="s">
        <v>4296</v>
      </c>
      <c r="D243" s="481">
        <v>100000</v>
      </c>
      <c r="E243" s="1064"/>
      <c r="F243" s="1041"/>
      <c r="G243" s="1019"/>
      <c r="H243" s="1019"/>
    </row>
    <row r="244" spans="1:9">
      <c r="A244" s="212">
        <v>178</v>
      </c>
      <c r="B244" s="940">
        <v>423</v>
      </c>
      <c r="C244" s="908" t="s">
        <v>3774</v>
      </c>
      <c r="D244" s="941">
        <v>3000000</v>
      </c>
      <c r="E244" s="1064"/>
      <c r="F244" s="1041"/>
      <c r="G244" s="1019"/>
      <c r="H244" s="1019"/>
    </row>
    <row r="245" spans="1:9">
      <c r="A245" s="212">
        <v>179</v>
      </c>
      <c r="B245" s="690">
        <v>424</v>
      </c>
      <c r="C245" s="683" t="s">
        <v>3776</v>
      </c>
      <c r="D245" s="475">
        <v>4500000</v>
      </c>
      <c r="E245" s="1064"/>
      <c r="F245" s="1041"/>
      <c r="G245" s="1019"/>
      <c r="H245" s="1019"/>
    </row>
    <row r="246" spans="1:9" ht="15.75" thickBot="1">
      <c r="A246" s="212">
        <v>180</v>
      </c>
      <c r="B246" s="688">
        <v>426</v>
      </c>
      <c r="C246" s="691" t="s">
        <v>3780</v>
      </c>
      <c r="D246" s="689">
        <v>500000</v>
      </c>
      <c r="E246" s="1064"/>
      <c r="F246" s="1041"/>
      <c r="G246" s="1019"/>
      <c r="H246" s="1019"/>
    </row>
    <row r="247" spans="1:9" ht="15.75" thickBot="1">
      <c r="A247" s="996"/>
      <c r="B247" s="996"/>
      <c r="C247" s="996"/>
      <c r="D247" s="996"/>
      <c r="E247" s="1065"/>
      <c r="F247" s="1060"/>
      <c r="G247" s="1020"/>
      <c r="H247" s="1020"/>
    </row>
    <row r="248" spans="1:9">
      <c r="A248" s="677">
        <v>198</v>
      </c>
      <c r="B248" s="706">
        <v>421</v>
      </c>
      <c r="C248" s="516" t="s">
        <v>3772</v>
      </c>
      <c r="D248" s="707">
        <v>100000</v>
      </c>
      <c r="E248" s="1064"/>
      <c r="F248" s="1041"/>
      <c r="G248" s="1019"/>
      <c r="H248" s="1019"/>
    </row>
    <row r="249" spans="1:9">
      <c r="A249" s="677">
        <v>199</v>
      </c>
      <c r="B249" s="964">
        <v>423</v>
      </c>
      <c r="C249" s="962" t="s">
        <v>3774</v>
      </c>
      <c r="D249" s="965">
        <v>300000</v>
      </c>
      <c r="E249" s="1064"/>
      <c r="F249" s="1041"/>
      <c r="G249" s="1019"/>
      <c r="H249" s="1019"/>
    </row>
    <row r="250" spans="1:9">
      <c r="A250" s="677">
        <v>200</v>
      </c>
      <c r="B250" s="961">
        <v>424</v>
      </c>
      <c r="C250" s="962" t="s">
        <v>3776</v>
      </c>
      <c r="D250" s="963">
        <v>1100000</v>
      </c>
      <c r="E250" s="1064"/>
      <c r="F250" s="1041"/>
      <c r="G250" s="1019"/>
      <c r="H250" s="1019"/>
    </row>
    <row r="251" spans="1:9">
      <c r="A251" s="677">
        <v>201</v>
      </c>
      <c r="B251" s="709">
        <v>426</v>
      </c>
      <c r="C251" s="752" t="s">
        <v>3780</v>
      </c>
      <c r="D251" s="710">
        <v>130000</v>
      </c>
      <c r="E251" s="1064"/>
      <c r="F251" s="1041"/>
      <c r="G251" s="1019"/>
      <c r="H251" s="1019"/>
    </row>
    <row r="252" spans="1:9" ht="15.75" thickBot="1">
      <c r="A252" s="677">
        <v>202</v>
      </c>
      <c r="B252" s="709">
        <v>483</v>
      </c>
      <c r="C252" s="1089" t="s">
        <v>4036</v>
      </c>
      <c r="D252" s="963">
        <v>0</v>
      </c>
      <c r="E252" s="1077"/>
      <c r="F252" s="1078"/>
      <c r="G252" s="1079"/>
      <c r="H252" s="1079"/>
    </row>
    <row r="253" spans="1:9" ht="16.5" thickBot="1">
      <c r="A253" s="1082"/>
      <c r="B253" s="1083"/>
      <c r="C253" s="1083"/>
      <c r="D253" s="1088"/>
      <c r="E253" s="1090">
        <f t="shared" ref="E253:H253" si="1">SUM(E191:E252)</f>
        <v>8400000</v>
      </c>
      <c r="F253" s="1088">
        <f t="shared" si="1"/>
        <v>0</v>
      </c>
      <c r="G253" s="1090">
        <f t="shared" si="1"/>
        <v>2500000</v>
      </c>
      <c r="H253" s="1088">
        <f t="shared" si="1"/>
        <v>0</v>
      </c>
    </row>
    <row r="254" spans="1:9" ht="15.75" thickBot="1">
      <c r="E254" s="1092"/>
      <c r="F254" s="1093"/>
      <c r="G254" s="1094"/>
      <c r="H254" s="1094"/>
    </row>
    <row r="255" spans="1:9" ht="36" customHeight="1" thickBot="1">
      <c r="A255" s="1095"/>
      <c r="B255" s="1096"/>
      <c r="C255" s="1096"/>
      <c r="D255" s="1097">
        <f>SUM(D4:D254)</f>
        <v>572030000</v>
      </c>
      <c r="E255" s="1097">
        <f>E253+E190+E35</f>
        <v>51090000</v>
      </c>
      <c r="F255" s="1097">
        <f>F253+F190+F35</f>
        <v>3580000</v>
      </c>
      <c r="G255" s="1097">
        <f>G253+G190+G35</f>
        <v>98300000</v>
      </c>
      <c r="H255" s="1097">
        <f>H253+H190+H35</f>
        <v>91000000</v>
      </c>
      <c r="I255" s="985">
        <f>SUM(D255:H255)</f>
        <v>816000000</v>
      </c>
    </row>
    <row r="256" spans="1:9" ht="15.75" thickBot="1">
      <c r="A256" s="1098"/>
      <c r="B256" s="1099"/>
      <c r="C256" s="1102" t="s">
        <v>4701</v>
      </c>
      <c r="D256" s="1103">
        <v>572030000</v>
      </c>
      <c r="E256" s="1063">
        <v>51090000</v>
      </c>
      <c r="F256" s="1040">
        <v>3580000</v>
      </c>
      <c r="G256" s="1023">
        <v>98300000</v>
      </c>
      <c r="H256" s="1024">
        <v>91000000</v>
      </c>
      <c r="I256" s="985">
        <f>SUM(D256:H256)</f>
        <v>816000000</v>
      </c>
    </row>
    <row r="257" spans="1:8" ht="15.75" thickBot="1">
      <c r="A257" s="1100"/>
      <c r="B257" s="1101"/>
      <c r="C257" s="1101" t="s">
        <v>4702</v>
      </c>
      <c r="D257" s="1103">
        <f>D256-D255</f>
        <v>0</v>
      </c>
      <c r="E257" s="1103">
        <f t="shared" ref="E257:H257" si="2">E256-E255</f>
        <v>0</v>
      </c>
      <c r="F257" s="1103">
        <f t="shared" si="2"/>
        <v>0</v>
      </c>
      <c r="G257" s="1103">
        <f t="shared" si="2"/>
        <v>0</v>
      </c>
      <c r="H257" s="1103">
        <f t="shared" si="2"/>
        <v>0</v>
      </c>
    </row>
    <row r="258" spans="1:8">
      <c r="D258" s="1143">
        <f>SUM(D4:D255)</f>
        <v>1144060000</v>
      </c>
      <c r="E258" s="1080"/>
      <c r="F258" s="1081"/>
      <c r="G258" s="1022"/>
      <c r="H258" s="1022"/>
    </row>
  </sheetData>
  <autoFilter ref="D1:D258"/>
  <pageMargins left="0.28000000000000003" right="0.38" top="0.28999999999999998" bottom="0.37" header="0.3" footer="0.3"/>
  <pageSetup paperSize="9" orientation="landscape" verticalDpi="0" r:id="rId1"/>
  <legacyDrawing r:id="rId2"/>
</worksheet>
</file>

<file path=xl/worksheets/sheet2.xml><?xml version="1.0" encoding="utf-8"?>
<worksheet xmlns="http://schemas.openxmlformats.org/spreadsheetml/2006/main" xmlns:r="http://schemas.openxmlformats.org/officeDocument/2006/relationships">
  <dimension ref="A1:F47"/>
  <sheetViews>
    <sheetView workbookViewId="0">
      <selection activeCell="D3" sqref="D3"/>
    </sheetView>
  </sheetViews>
  <sheetFormatPr defaultRowHeight="15"/>
  <cols>
    <col min="2" max="2" width="58.85546875" customWidth="1"/>
    <col min="3" max="3" width="16.5703125" customWidth="1"/>
    <col min="4" max="4" width="13.28515625" customWidth="1"/>
    <col min="5" max="5" width="15.140625" customWidth="1"/>
    <col min="6" max="6" width="11.5703125" customWidth="1"/>
  </cols>
  <sheetData>
    <row r="1" spans="1:6" ht="42.75">
      <c r="A1" s="18" t="s">
        <v>20</v>
      </c>
      <c r="B1" s="19" t="s">
        <v>21</v>
      </c>
      <c r="C1" s="19" t="s">
        <v>22</v>
      </c>
      <c r="D1" s="20" t="s">
        <v>23</v>
      </c>
      <c r="E1" s="78" t="s">
        <v>3749</v>
      </c>
      <c r="F1" s="78" t="s">
        <v>4018</v>
      </c>
    </row>
    <row r="2" spans="1:6">
      <c r="A2" s="11">
        <v>1</v>
      </c>
      <c r="B2" s="10">
        <v>2</v>
      </c>
      <c r="C2" s="10">
        <v>3</v>
      </c>
      <c r="D2" s="10">
        <v>4</v>
      </c>
      <c r="E2" s="10">
        <v>5</v>
      </c>
      <c r="F2" s="203">
        <v>6</v>
      </c>
    </row>
    <row r="3" spans="1:6" ht="28.5">
      <c r="A3" s="45" t="s">
        <v>24</v>
      </c>
      <c r="B3" s="22" t="s">
        <v>25</v>
      </c>
      <c r="C3" s="16" t="s">
        <v>26</v>
      </c>
      <c r="D3" s="23"/>
      <c r="E3" s="79"/>
      <c r="F3" s="79"/>
    </row>
    <row r="4" spans="1:6">
      <c r="A4" s="46" t="s">
        <v>13</v>
      </c>
      <c r="B4" s="24" t="s">
        <v>27</v>
      </c>
      <c r="C4" s="25">
        <v>71</v>
      </c>
      <c r="D4" s="26"/>
      <c r="E4" s="80"/>
      <c r="F4" s="80"/>
    </row>
    <row r="5" spans="1:6" ht="30">
      <c r="A5" s="17" t="s">
        <v>28</v>
      </c>
      <c r="B5" s="27" t="s">
        <v>29</v>
      </c>
      <c r="C5" s="21">
        <v>711</v>
      </c>
      <c r="D5" s="28"/>
      <c r="E5" s="81"/>
      <c r="F5" s="81"/>
    </row>
    <row r="6" spans="1:6">
      <c r="A6" s="17" t="s">
        <v>30</v>
      </c>
      <c r="B6" s="27" t="s">
        <v>31</v>
      </c>
      <c r="C6" s="21">
        <v>711180</v>
      </c>
      <c r="D6" s="28"/>
      <c r="E6" s="81"/>
      <c r="F6" s="81"/>
    </row>
    <row r="7" spans="1:6">
      <c r="A7" s="17" t="s">
        <v>32</v>
      </c>
      <c r="B7" s="27" t="s">
        <v>33</v>
      </c>
      <c r="C7" s="21">
        <v>713</v>
      </c>
      <c r="D7" s="28"/>
      <c r="E7" s="81"/>
      <c r="F7" s="81"/>
    </row>
    <row r="8" spans="1:6">
      <c r="A8" s="17" t="s">
        <v>34</v>
      </c>
      <c r="B8" s="27" t="s">
        <v>35</v>
      </c>
      <c r="C8" s="21"/>
      <c r="D8" s="28"/>
      <c r="E8" s="81"/>
      <c r="F8" s="81"/>
    </row>
    <row r="9" spans="1:6">
      <c r="A9" s="47" t="s">
        <v>14</v>
      </c>
      <c r="B9" s="29" t="s">
        <v>36</v>
      </c>
      <c r="C9" s="30">
        <v>74</v>
      </c>
      <c r="D9" s="31"/>
      <c r="E9" s="82"/>
      <c r="F9" s="82"/>
    </row>
    <row r="10" spans="1:6">
      <c r="A10" s="48" t="s">
        <v>37</v>
      </c>
      <c r="B10" s="32" t="s">
        <v>38</v>
      </c>
      <c r="C10" s="33">
        <v>741510</v>
      </c>
      <c r="D10" s="34"/>
      <c r="E10" s="83"/>
      <c r="F10" s="83"/>
    </row>
    <row r="11" spans="1:6">
      <c r="A11" s="49" t="s">
        <v>39</v>
      </c>
      <c r="B11" s="32" t="s">
        <v>40</v>
      </c>
      <c r="C11" s="33">
        <v>741520</v>
      </c>
      <c r="D11" s="34"/>
      <c r="E11" s="83"/>
      <c r="F11" s="83"/>
    </row>
    <row r="12" spans="1:6">
      <c r="A12" s="49" t="s">
        <v>39</v>
      </c>
      <c r="B12" s="32" t="s">
        <v>41</v>
      </c>
      <c r="C12" s="33">
        <v>741534</v>
      </c>
      <c r="D12" s="34"/>
      <c r="E12" s="83"/>
      <c r="F12" s="83"/>
    </row>
    <row r="13" spans="1:6">
      <c r="A13" s="49" t="s">
        <v>43</v>
      </c>
      <c r="B13" s="35" t="s">
        <v>42</v>
      </c>
      <c r="C13" s="33">
        <v>741542</v>
      </c>
      <c r="D13" s="34"/>
      <c r="E13" s="83"/>
      <c r="F13" s="83"/>
    </row>
    <row r="14" spans="1:6">
      <c r="A14" s="49" t="s">
        <v>45</v>
      </c>
      <c r="B14" s="51" t="s">
        <v>44</v>
      </c>
      <c r="C14" s="52">
        <v>741411</v>
      </c>
      <c r="D14" s="34"/>
      <c r="E14" s="83"/>
      <c r="F14" s="83"/>
    </row>
    <row r="15" spans="1:6">
      <c r="A15" s="49" t="s">
        <v>47</v>
      </c>
      <c r="B15" s="51" t="s">
        <v>46</v>
      </c>
      <c r="C15" s="53">
        <v>742252</v>
      </c>
      <c r="D15" s="34"/>
      <c r="E15" s="83"/>
      <c r="F15" s="83"/>
    </row>
    <row r="16" spans="1:6">
      <c r="A16" s="49" t="s">
        <v>49</v>
      </c>
      <c r="B16" s="51" t="s">
        <v>48</v>
      </c>
      <c r="C16" s="53">
        <v>742253</v>
      </c>
      <c r="D16" s="34"/>
      <c r="E16" s="83"/>
      <c r="F16" s="83"/>
    </row>
    <row r="17" spans="1:6" ht="45">
      <c r="A17" s="49" t="s">
        <v>90</v>
      </c>
      <c r="B17" s="54" t="s">
        <v>50</v>
      </c>
      <c r="C17" s="53">
        <v>742340</v>
      </c>
      <c r="D17" s="34"/>
      <c r="E17" s="83"/>
      <c r="F17" s="83"/>
    </row>
    <row r="18" spans="1:6">
      <c r="A18" s="12" t="s">
        <v>91</v>
      </c>
      <c r="B18" s="54" t="s">
        <v>51</v>
      </c>
      <c r="C18" s="55"/>
      <c r="D18" s="34"/>
      <c r="E18" s="83"/>
      <c r="F18" s="83"/>
    </row>
    <row r="19" spans="1:6">
      <c r="A19" s="50" t="s">
        <v>15</v>
      </c>
      <c r="B19" s="36" t="s">
        <v>52</v>
      </c>
      <c r="C19" s="37" t="s">
        <v>53</v>
      </c>
      <c r="D19" s="38"/>
      <c r="E19" s="84"/>
      <c r="F19" s="84"/>
    </row>
    <row r="20" spans="1:6">
      <c r="A20" s="46" t="s">
        <v>16</v>
      </c>
      <c r="B20" s="24" t="s">
        <v>54</v>
      </c>
      <c r="C20" s="25">
        <v>733</v>
      </c>
      <c r="D20" s="26"/>
      <c r="E20" s="80"/>
      <c r="F20" s="80"/>
    </row>
    <row r="21" spans="1:6">
      <c r="A21" s="46" t="s">
        <v>18</v>
      </c>
      <c r="B21" s="24" t="s">
        <v>55</v>
      </c>
      <c r="C21" s="25">
        <v>771</v>
      </c>
      <c r="D21" s="26"/>
      <c r="E21" s="80"/>
      <c r="F21" s="80"/>
    </row>
    <row r="22" spans="1:6">
      <c r="A22" s="46" t="s">
        <v>19</v>
      </c>
      <c r="B22" s="24" t="s">
        <v>56</v>
      </c>
      <c r="C22" s="25">
        <v>8</v>
      </c>
      <c r="D22" s="26"/>
      <c r="E22" s="80"/>
      <c r="F22" s="80"/>
    </row>
    <row r="23" spans="1:6" ht="28.5">
      <c r="A23" s="15" t="s">
        <v>57</v>
      </c>
      <c r="B23" s="22" t="s">
        <v>58</v>
      </c>
      <c r="C23" s="16" t="s">
        <v>59</v>
      </c>
      <c r="D23" s="23"/>
      <c r="E23" s="79"/>
      <c r="F23" s="79"/>
    </row>
    <row r="24" spans="1:6">
      <c r="A24" s="46" t="s">
        <v>13</v>
      </c>
      <c r="B24" s="24" t="s">
        <v>60</v>
      </c>
      <c r="C24" s="25" t="s">
        <v>61</v>
      </c>
      <c r="D24" s="26"/>
      <c r="E24" s="80"/>
      <c r="F24" s="80"/>
    </row>
    <row r="25" spans="1:6">
      <c r="A25" s="17" t="s">
        <v>28</v>
      </c>
      <c r="B25" s="27" t="s">
        <v>62</v>
      </c>
      <c r="C25" s="21">
        <v>41</v>
      </c>
      <c r="D25" s="28"/>
      <c r="E25" s="81"/>
      <c r="F25" s="81"/>
    </row>
    <row r="26" spans="1:6">
      <c r="A26" s="17" t="s">
        <v>30</v>
      </c>
      <c r="B26" s="27" t="s">
        <v>63</v>
      </c>
      <c r="C26" s="21">
        <v>42</v>
      </c>
      <c r="D26" s="28"/>
      <c r="E26" s="81"/>
      <c r="F26" s="81"/>
    </row>
    <row r="27" spans="1:6">
      <c r="A27" s="17" t="s">
        <v>32</v>
      </c>
      <c r="B27" s="27" t="s">
        <v>64</v>
      </c>
      <c r="C27" s="21">
        <v>43</v>
      </c>
      <c r="D27" s="28"/>
      <c r="E27" s="81"/>
      <c r="F27" s="81"/>
    </row>
    <row r="28" spans="1:6">
      <c r="A28" s="17" t="s">
        <v>65</v>
      </c>
      <c r="B28" s="27" t="s">
        <v>66</v>
      </c>
      <c r="C28" s="21">
        <v>44</v>
      </c>
      <c r="D28" s="28"/>
      <c r="E28" s="81"/>
      <c r="F28" s="81"/>
    </row>
    <row r="29" spans="1:6">
      <c r="A29" s="17" t="s">
        <v>67</v>
      </c>
      <c r="B29" s="27" t="s">
        <v>68</v>
      </c>
      <c r="C29" s="21">
        <v>45</v>
      </c>
      <c r="D29" s="28"/>
      <c r="E29" s="81"/>
      <c r="F29" s="81"/>
    </row>
    <row r="30" spans="1:6">
      <c r="A30" s="17" t="s">
        <v>34</v>
      </c>
      <c r="B30" s="27" t="s">
        <v>69</v>
      </c>
      <c r="C30" s="21">
        <v>47</v>
      </c>
      <c r="D30" s="28"/>
      <c r="E30" s="81"/>
      <c r="F30" s="81"/>
    </row>
    <row r="31" spans="1:6">
      <c r="A31" s="17" t="s">
        <v>70</v>
      </c>
      <c r="B31" s="27" t="s">
        <v>71</v>
      </c>
      <c r="C31" s="21" t="s">
        <v>72</v>
      </c>
      <c r="D31" s="28"/>
      <c r="E31" s="81"/>
      <c r="F31" s="81"/>
    </row>
    <row r="32" spans="1:6">
      <c r="A32" s="46" t="s">
        <v>14</v>
      </c>
      <c r="B32" s="24" t="s">
        <v>54</v>
      </c>
      <c r="C32" s="25">
        <v>463</v>
      </c>
      <c r="D32" s="26"/>
      <c r="E32" s="80"/>
      <c r="F32" s="80"/>
    </row>
    <row r="33" spans="1:6">
      <c r="A33" s="46" t="s">
        <v>15</v>
      </c>
      <c r="B33" s="24" t="s">
        <v>73</v>
      </c>
      <c r="C33" s="25">
        <v>5</v>
      </c>
      <c r="D33" s="26"/>
      <c r="E33" s="80"/>
      <c r="F33" s="80"/>
    </row>
    <row r="34" spans="1:6">
      <c r="A34" s="46" t="s">
        <v>16</v>
      </c>
      <c r="B34" s="24" t="s">
        <v>74</v>
      </c>
      <c r="C34" s="25">
        <v>62</v>
      </c>
      <c r="D34" s="26"/>
      <c r="E34" s="80"/>
      <c r="F34" s="80"/>
    </row>
    <row r="35" spans="1:6" ht="28.5">
      <c r="A35" s="15" t="s">
        <v>75</v>
      </c>
      <c r="B35" s="22" t="s">
        <v>76</v>
      </c>
      <c r="C35" s="16">
        <v>9</v>
      </c>
      <c r="D35" s="23"/>
      <c r="E35" s="79"/>
      <c r="F35" s="79"/>
    </row>
    <row r="36" spans="1:6">
      <c r="A36" s="46" t="s">
        <v>13</v>
      </c>
      <c r="B36" s="24" t="s">
        <v>77</v>
      </c>
      <c r="C36" s="25">
        <v>91</v>
      </c>
      <c r="D36" s="26"/>
      <c r="E36" s="80"/>
      <c r="F36" s="80"/>
    </row>
    <row r="37" spans="1:6">
      <c r="A37" s="17" t="s">
        <v>28</v>
      </c>
      <c r="B37" s="27" t="s">
        <v>78</v>
      </c>
      <c r="C37" s="21">
        <v>911</v>
      </c>
      <c r="D37" s="28"/>
      <c r="E37" s="81"/>
      <c r="F37" s="81"/>
    </row>
    <row r="38" spans="1:6">
      <c r="A38" s="17" t="s">
        <v>30</v>
      </c>
      <c r="B38" s="27" t="s">
        <v>79</v>
      </c>
      <c r="C38" s="21">
        <v>912</v>
      </c>
      <c r="D38" s="28"/>
      <c r="E38" s="81"/>
      <c r="F38" s="81"/>
    </row>
    <row r="39" spans="1:6" ht="28.5">
      <c r="A39" s="46" t="s">
        <v>14</v>
      </c>
      <c r="B39" s="24" t="s">
        <v>80</v>
      </c>
      <c r="C39" s="25">
        <v>92</v>
      </c>
      <c r="D39" s="26"/>
      <c r="E39" s="80"/>
      <c r="F39" s="80"/>
    </row>
    <row r="40" spans="1:6" ht="28.5">
      <c r="A40" s="15" t="s">
        <v>81</v>
      </c>
      <c r="B40" s="22" t="s">
        <v>82</v>
      </c>
      <c r="C40" s="16">
        <v>6</v>
      </c>
      <c r="D40" s="23"/>
      <c r="E40" s="79"/>
      <c r="F40" s="79"/>
    </row>
    <row r="41" spans="1:6">
      <c r="A41" s="46" t="s">
        <v>13</v>
      </c>
      <c r="B41" s="24" t="s">
        <v>83</v>
      </c>
      <c r="C41" s="25">
        <v>61</v>
      </c>
      <c r="D41" s="26"/>
      <c r="E41" s="80"/>
      <c r="F41" s="80"/>
    </row>
    <row r="42" spans="1:6">
      <c r="A42" s="17" t="s">
        <v>28</v>
      </c>
      <c r="B42" s="27" t="s">
        <v>84</v>
      </c>
      <c r="C42" s="39">
        <v>611</v>
      </c>
      <c r="D42" s="40"/>
      <c r="E42" s="85"/>
      <c r="F42" s="85"/>
    </row>
    <row r="43" spans="1:6">
      <c r="A43" s="17" t="s">
        <v>30</v>
      </c>
      <c r="B43" s="27" t="s">
        <v>85</v>
      </c>
      <c r="C43" s="39">
        <v>612</v>
      </c>
      <c r="D43" s="40"/>
      <c r="E43" s="85"/>
      <c r="F43" s="85"/>
    </row>
    <row r="44" spans="1:6">
      <c r="A44" s="17" t="s">
        <v>32</v>
      </c>
      <c r="B44" s="27" t="s">
        <v>86</v>
      </c>
      <c r="C44" s="39">
        <v>613</v>
      </c>
      <c r="D44" s="40"/>
      <c r="E44" s="85"/>
      <c r="F44" s="85"/>
    </row>
    <row r="45" spans="1:6">
      <c r="A45" s="46" t="s">
        <v>14</v>
      </c>
      <c r="B45" s="24" t="s">
        <v>87</v>
      </c>
      <c r="C45" s="41">
        <v>6211</v>
      </c>
      <c r="D45" s="42"/>
      <c r="E45" s="86"/>
      <c r="F45" s="86"/>
    </row>
    <row r="46" spans="1:6">
      <c r="A46" s="14"/>
      <c r="B46" s="13"/>
      <c r="C46" s="43"/>
      <c r="D46" s="44"/>
      <c r="E46" s="87"/>
      <c r="F46" s="87"/>
    </row>
    <row r="47" spans="1:6" ht="28.5">
      <c r="A47" s="15" t="s">
        <v>88</v>
      </c>
      <c r="B47" s="22" t="s">
        <v>89</v>
      </c>
      <c r="C47" s="16">
        <v>3</v>
      </c>
      <c r="D47" s="23"/>
      <c r="E47" s="79"/>
      <c r="F47" s="79"/>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tabColor theme="0"/>
  </sheetPr>
  <dimension ref="A1:N106"/>
  <sheetViews>
    <sheetView topLeftCell="A91" workbookViewId="0">
      <selection activeCell="K83" sqref="K83"/>
    </sheetView>
  </sheetViews>
  <sheetFormatPr defaultRowHeight="15"/>
  <cols>
    <col min="1" max="1" width="11.7109375" style="88" customWidth="1"/>
    <col min="2" max="2" width="9.42578125" style="88" customWidth="1"/>
    <col min="3" max="3" width="51.7109375" style="88" customWidth="1"/>
    <col min="4" max="4" width="14.7109375" style="88" customWidth="1"/>
    <col min="5" max="5" width="7.7109375" style="88" customWidth="1"/>
    <col min="6" max="6" width="6.7109375" style="88" customWidth="1"/>
    <col min="7" max="7" width="17.28515625" style="88" customWidth="1"/>
    <col min="8" max="8" width="17.85546875" style="88" customWidth="1"/>
    <col min="9" max="9" width="17.85546875" style="1116" customWidth="1"/>
    <col min="10" max="10" width="9.140625" style="528"/>
    <col min="11" max="11" width="16.140625" style="88" customWidth="1"/>
    <col min="12" max="12" width="45.7109375" style="88" customWidth="1"/>
    <col min="13" max="13" width="17.28515625" style="88" customWidth="1"/>
    <col min="14" max="14" width="14.42578125" style="88" customWidth="1"/>
    <col min="15" max="52" width="9.140625" style="88" customWidth="1"/>
    <col min="53" max="16384" width="9.140625" style="88"/>
  </cols>
  <sheetData>
    <row r="1" spans="1:14" ht="15" customHeight="1">
      <c r="A1" s="1153" t="s">
        <v>3674</v>
      </c>
      <c r="B1" s="1153" t="s">
        <v>3675</v>
      </c>
      <c r="C1" s="1153" t="s">
        <v>3676</v>
      </c>
      <c r="D1" s="1148" t="s">
        <v>4633</v>
      </c>
      <c r="E1" s="1149"/>
      <c r="F1" s="1149"/>
      <c r="G1" s="1150"/>
      <c r="H1" s="1151" t="s">
        <v>4020</v>
      </c>
    </row>
    <row r="2" spans="1:14" ht="35.25" customHeight="1">
      <c r="A2" s="1154"/>
      <c r="B2" s="1154"/>
      <c r="C2" s="1154"/>
      <c r="D2" s="722" t="s">
        <v>4558</v>
      </c>
      <c r="E2" s="723" t="s">
        <v>4559</v>
      </c>
      <c r="F2" s="186" t="s">
        <v>3677</v>
      </c>
      <c r="G2" s="722" t="s">
        <v>4566</v>
      </c>
      <c r="H2" s="1152"/>
      <c r="K2" s="243" t="s">
        <v>4322</v>
      </c>
      <c r="L2" s="206"/>
      <c r="M2" s="243" t="s">
        <v>23</v>
      </c>
      <c r="N2" s="243" t="s">
        <v>3749</v>
      </c>
    </row>
    <row r="3" spans="1:14">
      <c r="A3" s="128"/>
      <c r="B3" s="128"/>
      <c r="C3" s="129" t="s">
        <v>3678</v>
      </c>
      <c r="D3" s="130">
        <v>91000000</v>
      </c>
      <c r="E3" s="724" t="s">
        <v>255</v>
      </c>
      <c r="F3" s="194">
        <f t="shared" ref="F3:F48" si="0">IFERROR(D3/$D$104,"-")</f>
        <v>0.11151960784313726</v>
      </c>
      <c r="G3" s="130">
        <v>0</v>
      </c>
      <c r="H3" s="178">
        <f>D3+G3</f>
        <v>91000000</v>
      </c>
      <c r="K3" s="503" t="s">
        <v>4324</v>
      </c>
      <c r="L3" s="206" t="s">
        <v>4051</v>
      </c>
      <c r="M3" s="242">
        <f>D19+D23+D24+D25+D35+D37+D40+D41+D42+D44+D47+D48+D55+D56+D60+D61+D62+D63+D64+D68+D70+D72+D73+D75+D78+D80+D81+D84+D85+D86</f>
        <v>97240000</v>
      </c>
      <c r="N3" s="242">
        <f>G19+G23+G24+G25+G35+G37+G40+G41+G42+G44+G47+G48+G55+G56+G60+G61+G62+G63+G64+G68+G70+G72+G73+G75+G76+G78+G80+G81+G84+G85+G86</f>
        <v>83400000</v>
      </c>
    </row>
    <row r="4" spans="1:14">
      <c r="A4" s="131" t="s">
        <v>2205</v>
      </c>
      <c r="B4" s="132"/>
      <c r="C4" s="133" t="s">
        <v>3679</v>
      </c>
      <c r="D4" s="134">
        <f>SUM(D5,D45,D53,D87,D89)</f>
        <v>626700000</v>
      </c>
      <c r="E4" s="725"/>
      <c r="F4" s="195">
        <f t="shared" si="0"/>
        <v>0.76801470588235299</v>
      </c>
      <c r="G4" s="134">
        <f>SUM(G5,G45,G53,G87,G89)</f>
        <v>218700000</v>
      </c>
      <c r="H4" s="179">
        <f>SUM(H5,H45,H53,H87,H89)</f>
        <v>818350000</v>
      </c>
      <c r="K4" s="504" t="s">
        <v>233</v>
      </c>
      <c r="L4" s="206" t="s">
        <v>4052</v>
      </c>
      <c r="M4" s="242">
        <f>D7+D9+D10+D11+D13+D12+D14+D15+D17+D18+D21+D26+D27+D29+D28+D30+D32+D34+D38+D39+D57+D59+D65+D66+D71+D77+D88</f>
        <v>179920000</v>
      </c>
      <c r="N4" s="242">
        <f>G7+G9+G10+G11+G13+G12+G14+G15+G17+G18+G21+G26+G27+G29+G28+G30+G32+G34+G38+G39+G57+G59+G65+G66+G71+G77+G88</f>
        <v>0</v>
      </c>
    </row>
    <row r="5" spans="1:14">
      <c r="A5" s="135">
        <v>710000</v>
      </c>
      <c r="B5" s="135"/>
      <c r="C5" s="136" t="s">
        <v>3680</v>
      </c>
      <c r="D5" s="137">
        <f>SUM(D6,D22,D33,D43)</f>
        <v>219040000</v>
      </c>
      <c r="E5" s="726" t="s">
        <v>233</v>
      </c>
      <c r="F5" s="196">
        <f t="shared" si="0"/>
        <v>0.26843137254901961</v>
      </c>
      <c r="G5" s="137">
        <f>SUM(G6,G22,G33,G43)</f>
        <v>0</v>
      </c>
      <c r="H5" s="180">
        <f>SUM(H6,H22,H33,H43)</f>
        <v>206540000</v>
      </c>
      <c r="K5" s="505" t="s">
        <v>4323</v>
      </c>
      <c r="L5" s="208" t="s">
        <v>54</v>
      </c>
      <c r="M5" s="242">
        <f>SUM(D50:D52)</f>
        <v>321090000</v>
      </c>
      <c r="N5" s="242">
        <f>SUM(G50:G52)+G90</f>
        <v>135300000</v>
      </c>
    </row>
    <row r="6" spans="1:14">
      <c r="A6" s="138">
        <v>711000</v>
      </c>
      <c r="B6" s="139"/>
      <c r="C6" s="140" t="s">
        <v>3681</v>
      </c>
      <c r="D6" s="141">
        <f>SUM(D7:D21)</f>
        <v>178940000</v>
      </c>
      <c r="E6" s="727" t="s">
        <v>233</v>
      </c>
      <c r="F6" s="197">
        <f t="shared" si="0"/>
        <v>0.21928921568627452</v>
      </c>
      <c r="G6" s="141">
        <f>SUM(G7:G21)</f>
        <v>0</v>
      </c>
      <c r="H6" s="181">
        <f>SUM(H7:H21)</f>
        <v>166440000</v>
      </c>
      <c r="K6" s="275" t="s">
        <v>248</v>
      </c>
      <c r="L6" s="206" t="s">
        <v>56</v>
      </c>
      <c r="M6" s="242">
        <f>SUM(D91)</f>
        <v>98300000</v>
      </c>
      <c r="N6" s="242">
        <f>SUM(G91)</f>
        <v>0</v>
      </c>
    </row>
    <row r="7" spans="1:14">
      <c r="A7" s="142"/>
      <c r="B7" s="239">
        <v>711111</v>
      </c>
      <c r="C7" s="143" t="s">
        <v>3682</v>
      </c>
      <c r="D7" s="144">
        <v>148050000</v>
      </c>
      <c r="E7" s="728" t="s">
        <v>233</v>
      </c>
      <c r="F7" s="198">
        <f t="shared" si="0"/>
        <v>0.18143382352941176</v>
      </c>
      <c r="G7" s="144"/>
      <c r="H7" s="182">
        <f>D7+G7</f>
        <v>148050000</v>
      </c>
      <c r="K7" s="275" t="s">
        <v>249</v>
      </c>
      <c r="L7" s="206" t="s">
        <v>9</v>
      </c>
      <c r="M7" s="244">
        <f>SUM(D97)</f>
        <v>0</v>
      </c>
      <c r="N7" s="244">
        <f>SUM(G97)</f>
        <v>0</v>
      </c>
    </row>
    <row r="8" spans="1:14">
      <c r="A8" s="142"/>
      <c r="B8" s="239"/>
      <c r="C8" s="143"/>
      <c r="D8" s="144"/>
      <c r="E8" s="728"/>
      <c r="F8" s="198"/>
      <c r="G8" s="144"/>
      <c r="H8" s="144"/>
      <c r="K8" s="506" t="s">
        <v>255</v>
      </c>
      <c r="L8" s="206" t="s">
        <v>4320</v>
      </c>
      <c r="M8" s="244">
        <f>D3</f>
        <v>91000000</v>
      </c>
      <c r="N8" s="244">
        <f>G3</f>
        <v>0</v>
      </c>
    </row>
    <row r="9" spans="1:14" ht="24">
      <c r="A9" s="142"/>
      <c r="B9" s="239">
        <v>711121</v>
      </c>
      <c r="C9" s="143" t="s">
        <v>3683</v>
      </c>
      <c r="D9" s="144">
        <v>300000</v>
      </c>
      <c r="E9" s="728" t="s">
        <v>233</v>
      </c>
      <c r="F9" s="198">
        <f t="shared" si="0"/>
        <v>3.6764705882352941E-4</v>
      </c>
      <c r="G9" s="144"/>
      <c r="H9" s="182">
        <f t="shared" ref="H9:H21" si="1">D9+G9</f>
        <v>300000</v>
      </c>
      <c r="K9" s="275"/>
      <c r="L9" s="251" t="s">
        <v>4018</v>
      </c>
      <c r="M9" s="252">
        <f>SUM(M3:M8)</f>
        <v>787550000</v>
      </c>
      <c r="N9" s="252">
        <f>SUM(N3:N8)</f>
        <v>218700000</v>
      </c>
    </row>
    <row r="10" spans="1:14" ht="24">
      <c r="A10" s="142"/>
      <c r="B10" s="239">
        <v>711122</v>
      </c>
      <c r="C10" s="143" t="s">
        <v>3684</v>
      </c>
      <c r="D10" s="144">
        <v>7300000</v>
      </c>
      <c r="E10" s="728" t="s">
        <v>233</v>
      </c>
      <c r="F10" s="198">
        <f t="shared" si="0"/>
        <v>8.9460784313725485E-3</v>
      </c>
      <c r="G10" s="144"/>
      <c r="H10" s="182">
        <f t="shared" si="1"/>
        <v>7300000</v>
      </c>
    </row>
    <row r="11" spans="1:14" ht="24">
      <c r="A11" s="142"/>
      <c r="B11" s="239">
        <v>711123</v>
      </c>
      <c r="C11" s="143" t="s">
        <v>3742</v>
      </c>
      <c r="D11" s="144">
        <v>10000000</v>
      </c>
      <c r="E11" s="728" t="s">
        <v>233</v>
      </c>
      <c r="F11" s="198">
        <f t="shared" si="0"/>
        <v>1.2254901960784314E-2</v>
      </c>
      <c r="G11" s="144"/>
      <c r="H11" s="182">
        <f t="shared" si="1"/>
        <v>10000000</v>
      </c>
    </row>
    <row r="12" spans="1:14">
      <c r="A12" s="142"/>
      <c r="B12" s="239">
        <v>711143</v>
      </c>
      <c r="C12" s="143" t="s">
        <v>3685</v>
      </c>
      <c r="D12" s="144">
        <v>0</v>
      </c>
      <c r="E12" s="728"/>
      <c r="F12" s="198">
        <f t="shared" si="0"/>
        <v>0</v>
      </c>
      <c r="G12" s="144"/>
      <c r="H12" s="182">
        <f t="shared" si="1"/>
        <v>0</v>
      </c>
    </row>
    <row r="13" spans="1:14" ht="29.25" customHeight="1">
      <c r="A13" s="142"/>
      <c r="B13" s="239">
        <v>711145</v>
      </c>
      <c r="C13" s="143" t="s">
        <v>3743</v>
      </c>
      <c r="D13" s="144">
        <v>600000</v>
      </c>
      <c r="E13" s="728" t="s">
        <v>233</v>
      </c>
      <c r="F13" s="198">
        <f t="shared" si="0"/>
        <v>7.3529411764705881E-4</v>
      </c>
      <c r="G13" s="144"/>
      <c r="H13" s="182">
        <f t="shared" si="1"/>
        <v>600000</v>
      </c>
      <c r="K13" s="734" t="s">
        <v>233</v>
      </c>
      <c r="L13" s="737" t="s">
        <v>4568</v>
      </c>
      <c r="M13" s="948">
        <f>D5+D53+D50-D79</f>
        <v>572030000</v>
      </c>
    </row>
    <row r="14" spans="1:14" ht="24">
      <c r="A14" s="142"/>
      <c r="B14" s="239">
        <v>711146</v>
      </c>
      <c r="C14" s="143" t="s">
        <v>3686</v>
      </c>
      <c r="D14" s="144">
        <v>0</v>
      </c>
      <c r="E14" s="728"/>
      <c r="F14" s="198">
        <f t="shared" si="0"/>
        <v>0</v>
      </c>
      <c r="G14" s="144"/>
      <c r="H14" s="182">
        <f t="shared" si="1"/>
        <v>0</v>
      </c>
      <c r="K14" s="734" t="s">
        <v>243</v>
      </c>
      <c r="L14" s="206" t="s">
        <v>4569</v>
      </c>
      <c r="M14" s="949">
        <f>D46</f>
        <v>0</v>
      </c>
    </row>
    <row r="15" spans="1:14">
      <c r="A15" s="142"/>
      <c r="B15" s="239">
        <v>711147</v>
      </c>
      <c r="C15" s="143" t="s">
        <v>3687</v>
      </c>
      <c r="D15" s="144">
        <v>10000</v>
      </c>
      <c r="E15" s="728" t="s">
        <v>233</v>
      </c>
      <c r="F15" s="198">
        <f t="shared" si="0"/>
        <v>1.2254901960784313E-5</v>
      </c>
      <c r="G15" s="144"/>
      <c r="H15" s="182">
        <f t="shared" si="1"/>
        <v>10000</v>
      </c>
      <c r="K15" s="734" t="s">
        <v>245</v>
      </c>
      <c r="L15" s="737" t="s">
        <v>4570</v>
      </c>
      <c r="M15" s="950">
        <f>D49-D50</f>
        <v>51090000</v>
      </c>
    </row>
    <row r="16" spans="1:14">
      <c r="A16" s="142"/>
      <c r="B16" s="239"/>
      <c r="C16" s="143"/>
      <c r="D16" s="144"/>
      <c r="E16" s="728"/>
      <c r="F16" s="198"/>
      <c r="G16" s="144"/>
      <c r="H16" s="144"/>
      <c r="K16" s="734" t="s">
        <v>247</v>
      </c>
      <c r="L16" s="737" t="s">
        <v>4692</v>
      </c>
      <c r="M16" s="950">
        <f>D79</f>
        <v>3580000</v>
      </c>
    </row>
    <row r="17" spans="1:13">
      <c r="A17" s="142"/>
      <c r="B17" s="239">
        <v>711148</v>
      </c>
      <c r="C17" s="143" t="s">
        <v>3688</v>
      </c>
      <c r="D17" s="144">
        <v>0</v>
      </c>
      <c r="E17" s="728"/>
      <c r="F17" s="198">
        <f t="shared" si="0"/>
        <v>0</v>
      </c>
      <c r="G17" s="144"/>
      <c r="H17" s="182">
        <f t="shared" si="1"/>
        <v>0</v>
      </c>
      <c r="K17" s="734" t="s">
        <v>248</v>
      </c>
      <c r="L17" s="206" t="s">
        <v>4571</v>
      </c>
      <c r="M17" s="952">
        <f>D91</f>
        <v>98300000</v>
      </c>
    </row>
    <row r="18" spans="1:13">
      <c r="A18" s="142"/>
      <c r="B18" s="239">
        <v>711161</v>
      </c>
      <c r="C18" s="143" t="s">
        <v>3689</v>
      </c>
      <c r="D18" s="144"/>
      <c r="E18" s="728"/>
      <c r="F18" s="198">
        <f t="shared" si="0"/>
        <v>0</v>
      </c>
      <c r="G18" s="144"/>
      <c r="H18" s="182">
        <f t="shared" si="1"/>
        <v>0</v>
      </c>
      <c r="K18" s="734" t="s">
        <v>255</v>
      </c>
      <c r="L18" s="206" t="s">
        <v>4572</v>
      </c>
      <c r="M18" s="953">
        <f>D3</f>
        <v>91000000</v>
      </c>
    </row>
    <row r="19" spans="1:13">
      <c r="A19" s="142"/>
      <c r="B19" s="237">
        <v>711180</v>
      </c>
      <c r="C19" s="143" t="s">
        <v>3690</v>
      </c>
      <c r="D19" s="144">
        <v>30000</v>
      </c>
      <c r="E19" s="728" t="s">
        <v>233</v>
      </c>
      <c r="F19" s="198">
        <f t="shared" si="0"/>
        <v>3.6764705882352938E-5</v>
      </c>
      <c r="G19" s="144">
        <v>0</v>
      </c>
      <c r="H19" s="182">
        <f t="shared" si="1"/>
        <v>30000</v>
      </c>
      <c r="K19" s="733"/>
      <c r="M19" s="951">
        <f>SUM(M13:M18)</f>
        <v>816000000</v>
      </c>
    </row>
    <row r="20" spans="1:13">
      <c r="A20" s="142"/>
      <c r="B20" s="721">
        <v>711191</v>
      </c>
      <c r="C20" s="143" t="s">
        <v>4547</v>
      </c>
      <c r="D20" s="144">
        <v>12500000</v>
      </c>
      <c r="E20" s="728" t="s">
        <v>233</v>
      </c>
      <c r="F20" s="198">
        <f t="shared" si="0"/>
        <v>1.5318627450980392E-2</v>
      </c>
      <c r="G20" s="144"/>
      <c r="H20" s="144"/>
      <c r="K20" s="733"/>
    </row>
    <row r="21" spans="1:13">
      <c r="A21" s="145"/>
      <c r="B21" s="239">
        <v>711193</v>
      </c>
      <c r="C21" s="143" t="s">
        <v>4548</v>
      </c>
      <c r="D21" s="144">
        <v>150000</v>
      </c>
      <c r="E21" s="728" t="s">
        <v>233</v>
      </c>
      <c r="F21" s="198">
        <f t="shared" si="0"/>
        <v>1.838235294117647E-4</v>
      </c>
      <c r="G21" s="144"/>
      <c r="H21" s="182">
        <f t="shared" si="1"/>
        <v>150000</v>
      </c>
      <c r="K21" s="733"/>
    </row>
    <row r="22" spans="1:13">
      <c r="A22" s="138">
        <v>713000</v>
      </c>
      <c r="B22" s="146"/>
      <c r="C22" s="140" t="s">
        <v>3691</v>
      </c>
      <c r="D22" s="141">
        <f>SUM(D23:D32)</f>
        <v>22200000</v>
      </c>
      <c r="E22" s="727" t="s">
        <v>233</v>
      </c>
      <c r="F22" s="197">
        <f t="shared" si="0"/>
        <v>2.7205882352941177E-2</v>
      </c>
      <c r="G22" s="141">
        <f>SUM(G23:G32)</f>
        <v>0</v>
      </c>
      <c r="H22" s="181">
        <f>SUM(H23:H32)</f>
        <v>22200000</v>
      </c>
      <c r="K22" s="733"/>
    </row>
    <row r="23" spans="1:13" ht="24">
      <c r="A23" s="142"/>
      <c r="B23" s="237">
        <v>713121</v>
      </c>
      <c r="C23" s="143" t="s">
        <v>3692</v>
      </c>
      <c r="D23" s="144">
        <v>9000000</v>
      </c>
      <c r="E23" s="728" t="s">
        <v>233</v>
      </c>
      <c r="F23" s="198">
        <f t="shared" si="0"/>
        <v>1.1029411764705883E-2</v>
      </c>
      <c r="G23" s="144"/>
      <c r="H23" s="182">
        <f>D23+G23</f>
        <v>9000000</v>
      </c>
      <c r="K23" s="241"/>
    </row>
    <row r="24" spans="1:13" ht="24">
      <c r="A24" s="142"/>
      <c r="B24" s="237">
        <v>713122</v>
      </c>
      <c r="C24" s="143" t="s">
        <v>3693</v>
      </c>
      <c r="D24" s="144">
        <v>9000000</v>
      </c>
      <c r="E24" s="728" t="s">
        <v>233</v>
      </c>
      <c r="F24" s="198">
        <f t="shared" si="0"/>
        <v>1.1029411764705883E-2</v>
      </c>
      <c r="G24" s="144"/>
      <c r="H24" s="182">
        <f t="shared" ref="H24:H32" si="2">D24+G24</f>
        <v>9000000</v>
      </c>
      <c r="K24" s="241"/>
    </row>
    <row r="25" spans="1:13" ht="24">
      <c r="A25" s="142"/>
      <c r="B25" s="237">
        <v>713126</v>
      </c>
      <c r="C25" s="143" t="s">
        <v>3744</v>
      </c>
      <c r="D25" s="144">
        <v>0</v>
      </c>
      <c r="E25" s="728" t="s">
        <v>233</v>
      </c>
      <c r="F25" s="198">
        <f t="shared" si="0"/>
        <v>0</v>
      </c>
      <c r="G25" s="144"/>
      <c r="H25" s="182">
        <f t="shared" si="2"/>
        <v>0</v>
      </c>
    </row>
    <row r="26" spans="1:13">
      <c r="A26" s="142"/>
      <c r="B26" s="239">
        <v>713311</v>
      </c>
      <c r="C26" s="143" t="s">
        <v>3694</v>
      </c>
      <c r="D26" s="144">
        <v>1500000</v>
      </c>
      <c r="E26" s="728" t="s">
        <v>233</v>
      </c>
      <c r="F26" s="198">
        <f t="shared" si="0"/>
        <v>1.838235294117647E-3</v>
      </c>
      <c r="G26" s="144"/>
      <c r="H26" s="182">
        <f t="shared" si="2"/>
        <v>1500000</v>
      </c>
    </row>
    <row r="27" spans="1:13" ht="24">
      <c r="A27" s="142"/>
      <c r="B27" s="239">
        <v>713421</v>
      </c>
      <c r="C27" s="143" t="s">
        <v>3695</v>
      </c>
      <c r="D27" s="144">
        <v>1300000</v>
      </c>
      <c r="E27" s="728" t="s">
        <v>233</v>
      </c>
      <c r="F27" s="198">
        <f t="shared" si="0"/>
        <v>1.5931372549019608E-3</v>
      </c>
      <c r="G27" s="144"/>
      <c r="H27" s="182">
        <f t="shared" si="2"/>
        <v>1300000</v>
      </c>
    </row>
    <row r="28" spans="1:13" ht="36">
      <c r="A28" s="142"/>
      <c r="B28" s="239">
        <v>713422</v>
      </c>
      <c r="C28" s="143" t="s">
        <v>3696</v>
      </c>
      <c r="D28" s="144">
        <v>0</v>
      </c>
      <c r="E28" s="728"/>
      <c r="F28" s="198">
        <f t="shared" si="0"/>
        <v>0</v>
      </c>
      <c r="G28" s="144"/>
      <c r="H28" s="182">
        <f t="shared" si="2"/>
        <v>0</v>
      </c>
    </row>
    <row r="29" spans="1:13" ht="24">
      <c r="A29" s="142"/>
      <c r="B29" s="239">
        <v>713423</v>
      </c>
      <c r="C29" s="143" t="s">
        <v>3745</v>
      </c>
      <c r="D29" s="144">
        <v>1400000</v>
      </c>
      <c r="E29" s="728" t="s">
        <v>233</v>
      </c>
      <c r="F29" s="198">
        <f t="shared" si="0"/>
        <v>1.7156862745098039E-3</v>
      </c>
      <c r="G29" s="144"/>
      <c r="H29" s="182">
        <f t="shared" si="2"/>
        <v>1400000</v>
      </c>
    </row>
    <row r="30" spans="1:13" ht="24">
      <c r="A30" s="142"/>
      <c r="B30" s="239">
        <v>713424</v>
      </c>
      <c r="C30" s="143" t="s">
        <v>3746</v>
      </c>
      <c r="D30" s="144">
        <v>0</v>
      </c>
      <c r="E30" s="728"/>
      <c r="F30" s="198">
        <f t="shared" si="0"/>
        <v>0</v>
      </c>
      <c r="G30" s="144"/>
      <c r="H30" s="182">
        <f t="shared" si="2"/>
        <v>0</v>
      </c>
    </row>
    <row r="31" spans="1:13" ht="24">
      <c r="A31" s="142"/>
      <c r="B31" s="239">
        <v>713426</v>
      </c>
      <c r="C31" s="143" t="s">
        <v>4330</v>
      </c>
      <c r="D31" s="144">
        <v>0</v>
      </c>
      <c r="E31" s="728"/>
      <c r="F31" s="198">
        <f t="shared" si="0"/>
        <v>0</v>
      </c>
      <c r="G31" s="144"/>
      <c r="H31" s="144">
        <f t="shared" si="2"/>
        <v>0</v>
      </c>
    </row>
    <row r="32" spans="1:13">
      <c r="A32" s="142"/>
      <c r="B32" s="239">
        <v>713611</v>
      </c>
      <c r="C32" s="147" t="s">
        <v>3697</v>
      </c>
      <c r="D32" s="144">
        <v>0</v>
      </c>
      <c r="E32" s="728"/>
      <c r="F32" s="198">
        <f t="shared" si="0"/>
        <v>0</v>
      </c>
      <c r="G32" s="144"/>
      <c r="H32" s="182">
        <f t="shared" si="2"/>
        <v>0</v>
      </c>
    </row>
    <row r="33" spans="1:8">
      <c r="A33" s="138">
        <v>714000</v>
      </c>
      <c r="B33" s="139"/>
      <c r="C33" s="140" t="s">
        <v>3698</v>
      </c>
      <c r="D33" s="141">
        <f>SUM(D34:D42)</f>
        <v>8900000</v>
      </c>
      <c r="E33" s="727" t="s">
        <v>233</v>
      </c>
      <c r="F33" s="197">
        <f t="shared" si="0"/>
        <v>1.0906862745098039E-2</v>
      </c>
      <c r="G33" s="141">
        <f>SUM(G34:G42)</f>
        <v>0</v>
      </c>
      <c r="H33" s="181">
        <f>SUM(H34:H42)</f>
        <v>8900000</v>
      </c>
    </row>
    <row r="34" spans="1:8">
      <c r="A34" s="148"/>
      <c r="B34" s="239">
        <v>714441</v>
      </c>
      <c r="C34" s="143" t="s">
        <v>3699</v>
      </c>
      <c r="D34" s="144">
        <v>0</v>
      </c>
      <c r="E34" s="728"/>
      <c r="F34" s="198">
        <f t="shared" si="0"/>
        <v>0</v>
      </c>
      <c r="G34" s="144"/>
      <c r="H34" s="182">
        <f>D34+G34</f>
        <v>0</v>
      </c>
    </row>
    <row r="35" spans="1:8" ht="48">
      <c r="A35" s="148"/>
      <c r="B35" s="237">
        <v>714431</v>
      </c>
      <c r="C35" s="147" t="s">
        <v>3700</v>
      </c>
      <c r="D35" s="144">
        <v>0</v>
      </c>
      <c r="E35" s="728"/>
      <c r="F35" s="198">
        <f t="shared" si="0"/>
        <v>0</v>
      </c>
      <c r="G35" s="144"/>
      <c r="H35" s="182">
        <f t="shared" ref="H35:H42" si="3">D35+G35</f>
        <v>0</v>
      </c>
    </row>
    <row r="36" spans="1:8">
      <c r="A36" s="148"/>
      <c r="B36" s="237">
        <v>714512</v>
      </c>
      <c r="C36" s="147" t="s">
        <v>4298</v>
      </c>
      <c r="D36" s="144">
        <v>0</v>
      </c>
      <c r="E36" s="728"/>
      <c r="F36" s="198">
        <f t="shared" si="0"/>
        <v>0</v>
      </c>
      <c r="G36" s="144"/>
      <c r="H36" s="182">
        <f t="shared" si="3"/>
        <v>0</v>
      </c>
    </row>
    <row r="37" spans="1:8" ht="24">
      <c r="A37" s="148"/>
      <c r="B37" s="237">
        <v>714513</v>
      </c>
      <c r="C37" s="143" t="s">
        <v>3701</v>
      </c>
      <c r="D37" s="144">
        <v>8100000</v>
      </c>
      <c r="E37" s="728" t="s">
        <v>233</v>
      </c>
      <c r="F37" s="198">
        <f t="shared" si="0"/>
        <v>9.9264705882352935E-3</v>
      </c>
      <c r="G37" s="144"/>
      <c r="H37" s="182">
        <f t="shared" si="3"/>
        <v>8100000</v>
      </c>
    </row>
    <row r="38" spans="1:8">
      <c r="A38" s="148"/>
      <c r="B38" s="239">
        <v>714543</v>
      </c>
      <c r="C38" s="143" t="s">
        <v>3702</v>
      </c>
      <c r="D38" s="144">
        <v>100000</v>
      </c>
      <c r="E38" s="728" t="s">
        <v>233</v>
      </c>
      <c r="F38" s="198">
        <f t="shared" si="0"/>
        <v>1.2254901960784314E-4</v>
      </c>
      <c r="G38" s="144"/>
      <c r="H38" s="182">
        <f t="shared" si="3"/>
        <v>100000</v>
      </c>
    </row>
    <row r="39" spans="1:8" ht="24">
      <c r="A39" s="148"/>
      <c r="B39" s="239">
        <v>714549</v>
      </c>
      <c r="C39" s="143" t="s">
        <v>3703</v>
      </c>
      <c r="D39" s="144">
        <v>100000</v>
      </c>
      <c r="E39" s="728"/>
      <c r="F39" s="198">
        <f t="shared" si="0"/>
        <v>1.2254901960784314E-4</v>
      </c>
      <c r="G39" s="144"/>
      <c r="H39" s="182">
        <f t="shared" si="3"/>
        <v>100000</v>
      </c>
    </row>
    <row r="40" spans="1:8">
      <c r="A40" s="145"/>
      <c r="B40" s="237">
        <v>714552</v>
      </c>
      <c r="C40" s="147" t="s">
        <v>3704</v>
      </c>
      <c r="D40" s="144">
        <v>600000</v>
      </c>
      <c r="E40" s="728" t="s">
        <v>233</v>
      </c>
      <c r="F40" s="198">
        <f t="shared" si="0"/>
        <v>7.3529411764705881E-4</v>
      </c>
      <c r="G40" s="144"/>
      <c r="H40" s="182">
        <f t="shared" si="3"/>
        <v>600000</v>
      </c>
    </row>
    <row r="41" spans="1:8">
      <c r="A41" s="148"/>
      <c r="B41" s="237">
        <v>714562</v>
      </c>
      <c r="C41" s="143" t="s">
        <v>3705</v>
      </c>
      <c r="D41" s="144">
        <v>0</v>
      </c>
      <c r="E41" s="728"/>
      <c r="F41" s="198">
        <f t="shared" si="0"/>
        <v>0</v>
      </c>
      <c r="G41" s="144"/>
      <c r="H41" s="182">
        <f t="shared" si="3"/>
        <v>0</v>
      </c>
    </row>
    <row r="42" spans="1:8">
      <c r="A42" s="148"/>
      <c r="B42" s="237">
        <v>714572</v>
      </c>
      <c r="C42" s="143" t="s">
        <v>3706</v>
      </c>
      <c r="D42" s="144">
        <v>0</v>
      </c>
      <c r="E42" s="728"/>
      <c r="F42" s="198">
        <f t="shared" si="0"/>
        <v>0</v>
      </c>
      <c r="G42" s="144"/>
      <c r="H42" s="182">
        <f t="shared" si="3"/>
        <v>0</v>
      </c>
    </row>
    <row r="43" spans="1:8">
      <c r="A43" s="149" t="s">
        <v>2389</v>
      </c>
      <c r="B43" s="150"/>
      <c r="C43" s="151" t="s">
        <v>3707</v>
      </c>
      <c r="D43" s="141">
        <f>SUM(D44:D44)</f>
        <v>9000000</v>
      </c>
      <c r="E43" s="727" t="s">
        <v>233</v>
      </c>
      <c r="F43" s="197">
        <f t="shared" si="0"/>
        <v>1.1029411764705883E-2</v>
      </c>
      <c r="G43" s="141">
        <f>SUM(G44:G44)</f>
        <v>0</v>
      </c>
      <c r="H43" s="181">
        <f>SUM(H44:H44)</f>
        <v>9000000</v>
      </c>
    </row>
    <row r="44" spans="1:8">
      <c r="A44" s="148"/>
      <c r="B44" s="238" t="s">
        <v>2393</v>
      </c>
      <c r="C44" s="143" t="s">
        <v>3708</v>
      </c>
      <c r="D44" s="144">
        <v>9000000</v>
      </c>
      <c r="E44" s="728" t="s">
        <v>233</v>
      </c>
      <c r="F44" s="198">
        <f t="shared" si="0"/>
        <v>1.1029411764705883E-2</v>
      </c>
      <c r="G44" s="144"/>
      <c r="H44" s="182">
        <f>D44+G44</f>
        <v>9000000</v>
      </c>
    </row>
    <row r="45" spans="1:8">
      <c r="A45" s="152" t="s">
        <v>2596</v>
      </c>
      <c r="B45" s="153"/>
      <c r="C45" s="154" t="s">
        <v>3709</v>
      </c>
      <c r="D45" s="137">
        <f>SUM(D46,D49)</f>
        <v>321090000</v>
      </c>
      <c r="E45" s="726"/>
      <c r="F45" s="196">
        <f t="shared" si="0"/>
        <v>0.39349264705882353</v>
      </c>
      <c r="G45" s="137">
        <f>SUM(G46,G49)</f>
        <v>193200000</v>
      </c>
      <c r="H45" s="180">
        <f>SUM(H46,H49)</f>
        <v>514290000</v>
      </c>
    </row>
    <row r="46" spans="1:8">
      <c r="A46" s="149" t="s">
        <v>2621</v>
      </c>
      <c r="B46" s="150"/>
      <c r="C46" s="151" t="s">
        <v>3710</v>
      </c>
      <c r="D46" s="141">
        <f>D47+D48</f>
        <v>0</v>
      </c>
      <c r="E46" s="727" t="s">
        <v>243</v>
      </c>
      <c r="F46" s="197">
        <f t="shared" si="0"/>
        <v>0</v>
      </c>
      <c r="G46" s="141">
        <f>G47+G48</f>
        <v>57900000</v>
      </c>
      <c r="H46" s="141">
        <f>H47+H48</f>
        <v>57900000</v>
      </c>
    </row>
    <row r="47" spans="1:8" ht="24">
      <c r="A47" s="148"/>
      <c r="B47" s="238" t="s">
        <v>4299</v>
      </c>
      <c r="C47" s="155" t="s">
        <v>4462</v>
      </c>
      <c r="D47" s="144">
        <v>0</v>
      </c>
      <c r="E47" s="728" t="s">
        <v>243</v>
      </c>
      <c r="F47" s="198">
        <f t="shared" si="0"/>
        <v>0</v>
      </c>
      <c r="G47" s="144">
        <v>35000000</v>
      </c>
      <c r="H47" s="182">
        <f>D47+G47</f>
        <v>35000000</v>
      </c>
    </row>
    <row r="48" spans="1:8" ht="24">
      <c r="A48" s="148"/>
      <c r="B48" s="238" t="s">
        <v>4300</v>
      </c>
      <c r="C48" s="155" t="s">
        <v>4461</v>
      </c>
      <c r="D48" s="144">
        <v>0</v>
      </c>
      <c r="E48" s="728" t="s">
        <v>243</v>
      </c>
      <c r="F48" s="198">
        <f t="shared" si="0"/>
        <v>0</v>
      </c>
      <c r="G48" s="144">
        <v>22900000</v>
      </c>
      <c r="H48" s="182">
        <f>D48+G48</f>
        <v>22900000</v>
      </c>
    </row>
    <row r="49" spans="1:9">
      <c r="A49" s="149" t="s">
        <v>2645</v>
      </c>
      <c r="B49" s="150"/>
      <c r="C49" s="151" t="s">
        <v>3711</v>
      </c>
      <c r="D49" s="141">
        <f>SUM(D50:D52)</f>
        <v>321090000</v>
      </c>
      <c r="E49" s="727"/>
      <c r="F49" s="197">
        <f t="shared" ref="F49:F75" si="4">IFERROR(D49/$D$104,"-")</f>
        <v>0.39349264705882353</v>
      </c>
      <c r="G49" s="141">
        <f>SUM(G50:G52)</f>
        <v>135300000</v>
      </c>
      <c r="H49" s="181">
        <f>SUM(H50:H52)</f>
        <v>456390000</v>
      </c>
    </row>
    <row r="50" spans="1:9">
      <c r="A50" s="156"/>
      <c r="B50" s="157">
        <v>733151</v>
      </c>
      <c r="C50" s="158" t="s">
        <v>4301</v>
      </c>
      <c r="D50" s="144">
        <v>270000000</v>
      </c>
      <c r="E50" s="728" t="s">
        <v>233</v>
      </c>
      <c r="F50" s="198">
        <f t="shared" si="4"/>
        <v>0.33088235294117646</v>
      </c>
      <c r="G50" s="144"/>
      <c r="H50" s="182">
        <f>D50+G50</f>
        <v>270000000</v>
      </c>
    </row>
    <row r="51" spans="1:9" ht="24">
      <c r="A51" s="156"/>
      <c r="B51" s="148" t="s">
        <v>4302</v>
      </c>
      <c r="C51" s="155" t="s">
        <v>4303</v>
      </c>
      <c r="D51" s="144">
        <v>31890000</v>
      </c>
      <c r="E51" s="728" t="s">
        <v>245</v>
      </c>
      <c r="F51" s="198">
        <f t="shared" si="4"/>
        <v>3.9080882352941174E-2</v>
      </c>
      <c r="G51" s="144">
        <v>6000000</v>
      </c>
      <c r="H51" s="182">
        <f>D51+G51</f>
        <v>37890000</v>
      </c>
    </row>
    <row r="52" spans="1:9" ht="27.75" customHeight="1">
      <c r="A52" s="912"/>
      <c r="B52" s="148" t="s">
        <v>4304</v>
      </c>
      <c r="C52" s="155" t="s">
        <v>4305</v>
      </c>
      <c r="D52" s="144">
        <v>19200000</v>
      </c>
      <c r="E52" s="728" t="s">
        <v>245</v>
      </c>
      <c r="F52" s="198">
        <f t="shared" si="4"/>
        <v>2.3529411764705882E-2</v>
      </c>
      <c r="G52" s="144">
        <v>129300000</v>
      </c>
      <c r="H52" s="182">
        <f>D52+G52</f>
        <v>148500000</v>
      </c>
    </row>
    <row r="53" spans="1:9">
      <c r="A53" s="152" t="s">
        <v>2703</v>
      </c>
      <c r="B53" s="153"/>
      <c r="C53" s="154" t="s">
        <v>3712</v>
      </c>
      <c r="D53" s="137">
        <f>SUM(D54,D67,D76,D79,D82)</f>
        <v>86570000</v>
      </c>
      <c r="E53" s="726"/>
      <c r="F53" s="196">
        <f t="shared" si="4"/>
        <v>0.10609068627450981</v>
      </c>
      <c r="G53" s="137">
        <f>SUM(G54,G67,G76,G79,G82)</f>
        <v>25500000</v>
      </c>
      <c r="H53" s="180">
        <f>SUM(H54,H67,H76,H79,H82)</f>
        <v>97520000</v>
      </c>
    </row>
    <row r="54" spans="1:9">
      <c r="A54" s="149" t="s">
        <v>2705</v>
      </c>
      <c r="B54" s="150"/>
      <c r="C54" s="151" t="s">
        <v>3713</v>
      </c>
      <c r="D54" s="141">
        <f>SUM(D55:D66)</f>
        <v>60720000</v>
      </c>
      <c r="E54" s="727" t="s">
        <v>233</v>
      </c>
      <c r="F54" s="197">
        <f t="shared" si="4"/>
        <v>7.4411764705882358E-2</v>
      </c>
      <c r="G54" s="141">
        <f>SUM(G55:G66)</f>
        <v>0</v>
      </c>
      <c r="H54" s="181">
        <f>SUM(H55:H66)</f>
        <v>55520000</v>
      </c>
    </row>
    <row r="55" spans="1:9" ht="24">
      <c r="A55" s="156"/>
      <c r="B55" s="238" t="s">
        <v>4306</v>
      </c>
      <c r="C55" s="143" t="s">
        <v>4307</v>
      </c>
      <c r="D55" s="144">
        <v>3500000</v>
      </c>
      <c r="E55" s="728" t="s">
        <v>233</v>
      </c>
      <c r="F55" s="198">
        <f t="shared" si="4"/>
        <v>4.2892156862745102E-3</v>
      </c>
      <c r="G55" s="144"/>
      <c r="H55" s="182">
        <f>D55+G55</f>
        <v>3500000</v>
      </c>
    </row>
    <row r="56" spans="1:9">
      <c r="A56" s="156"/>
      <c r="B56" s="238" t="s">
        <v>2743</v>
      </c>
      <c r="C56" s="155" t="s">
        <v>44</v>
      </c>
      <c r="D56" s="144">
        <v>0</v>
      </c>
      <c r="E56" s="728"/>
      <c r="F56" s="198">
        <f t="shared" si="4"/>
        <v>0</v>
      </c>
      <c r="G56" s="144"/>
      <c r="H56" s="182">
        <f t="shared" ref="H56:H66" si="5">D56+G56</f>
        <v>0</v>
      </c>
    </row>
    <row r="57" spans="1:9">
      <c r="A57" s="156"/>
      <c r="B57" s="240" t="s">
        <v>2749</v>
      </c>
      <c r="C57" s="155" t="s">
        <v>38</v>
      </c>
      <c r="D57" s="144">
        <v>10000</v>
      </c>
      <c r="E57" s="728"/>
      <c r="F57" s="198">
        <f t="shared" si="4"/>
        <v>1.2254901960784313E-5</v>
      </c>
      <c r="G57" s="144"/>
      <c r="H57" s="182">
        <f t="shared" si="5"/>
        <v>10000</v>
      </c>
    </row>
    <row r="58" spans="1:9">
      <c r="A58" s="156"/>
      <c r="B58" s="240" t="s">
        <v>4549</v>
      </c>
      <c r="C58" s="155" t="s">
        <v>4551</v>
      </c>
      <c r="D58" s="144">
        <v>5200000</v>
      </c>
      <c r="E58" s="728" t="s">
        <v>233</v>
      </c>
      <c r="F58" s="198">
        <f t="shared" si="4"/>
        <v>6.372549019607843E-3</v>
      </c>
      <c r="G58" s="144"/>
      <c r="H58" s="144"/>
    </row>
    <row r="59" spans="1:9">
      <c r="A59" s="156"/>
      <c r="B59" s="240" t="s">
        <v>4550</v>
      </c>
      <c r="C59" s="155" t="s">
        <v>4552</v>
      </c>
      <c r="D59" s="144">
        <v>1100000</v>
      </c>
      <c r="E59" s="728" t="s">
        <v>233</v>
      </c>
      <c r="F59" s="198">
        <f t="shared" si="4"/>
        <v>1.3480392156862745E-3</v>
      </c>
      <c r="G59" s="144"/>
      <c r="H59" s="182">
        <f t="shared" si="5"/>
        <v>1100000</v>
      </c>
    </row>
    <row r="60" spans="1:9" ht="57.75" customHeight="1">
      <c r="A60" s="156"/>
      <c r="B60" s="238" t="s">
        <v>2769</v>
      </c>
      <c r="C60" s="1119" t="s">
        <v>3714</v>
      </c>
      <c r="D60" s="144">
        <v>46410000</v>
      </c>
      <c r="E60" s="728" t="s">
        <v>233</v>
      </c>
      <c r="F60" s="198">
        <f t="shared" si="4"/>
        <v>5.6875000000000002E-2</v>
      </c>
      <c r="G60" s="144"/>
      <c r="H60" s="182">
        <f t="shared" si="5"/>
        <v>46410000</v>
      </c>
      <c r="I60" s="1464"/>
    </row>
    <row r="61" spans="1:9" ht="36">
      <c r="A61" s="156"/>
      <c r="B61" s="238" t="s">
        <v>2771</v>
      </c>
      <c r="C61" s="155" t="s">
        <v>3715</v>
      </c>
      <c r="D61" s="144">
        <v>0</v>
      </c>
      <c r="E61" s="728"/>
      <c r="F61" s="198">
        <f t="shared" si="4"/>
        <v>0</v>
      </c>
      <c r="G61" s="144"/>
      <c r="H61" s="182">
        <f t="shared" si="5"/>
        <v>0</v>
      </c>
    </row>
    <row r="62" spans="1:9" ht="24">
      <c r="A62" s="156"/>
      <c r="B62" s="238" t="s">
        <v>2773</v>
      </c>
      <c r="C62" s="155" t="s">
        <v>3716</v>
      </c>
      <c r="D62" s="144">
        <v>0</v>
      </c>
      <c r="E62" s="728"/>
      <c r="F62" s="198">
        <f t="shared" si="4"/>
        <v>0</v>
      </c>
      <c r="G62" s="144"/>
      <c r="H62" s="182">
        <f t="shared" si="5"/>
        <v>0</v>
      </c>
    </row>
    <row r="63" spans="1:9">
      <c r="A63" s="156"/>
      <c r="B63" s="238" t="s">
        <v>2775</v>
      </c>
      <c r="C63" s="155" t="s">
        <v>41</v>
      </c>
      <c r="D63" s="144">
        <v>4500000</v>
      </c>
      <c r="E63" s="728" t="s">
        <v>233</v>
      </c>
      <c r="F63" s="198">
        <f t="shared" si="4"/>
        <v>5.5147058823529415E-3</v>
      </c>
      <c r="G63" s="144"/>
      <c r="H63" s="182">
        <f t="shared" si="5"/>
        <v>4500000</v>
      </c>
    </row>
    <row r="64" spans="1:9" ht="24">
      <c r="A64" s="156"/>
      <c r="B64" s="238" t="s">
        <v>2777</v>
      </c>
      <c r="C64" s="143" t="s">
        <v>3717</v>
      </c>
      <c r="D64" s="144">
        <v>0</v>
      </c>
      <c r="E64" s="728"/>
      <c r="F64" s="198">
        <f t="shared" si="4"/>
        <v>0</v>
      </c>
      <c r="G64" s="144"/>
      <c r="H64" s="182">
        <f t="shared" si="5"/>
        <v>0</v>
      </c>
    </row>
    <row r="65" spans="1:8">
      <c r="A65" s="156"/>
      <c r="B65" s="240" t="s">
        <v>2783</v>
      </c>
      <c r="C65" s="143" t="s">
        <v>42</v>
      </c>
      <c r="D65" s="144"/>
      <c r="E65" s="728"/>
      <c r="F65" s="198">
        <f t="shared" si="4"/>
        <v>0</v>
      </c>
      <c r="G65" s="144"/>
      <c r="H65" s="182">
        <f t="shared" si="5"/>
        <v>0</v>
      </c>
    </row>
    <row r="66" spans="1:8">
      <c r="A66" s="156"/>
      <c r="B66" s="240" t="s">
        <v>2787</v>
      </c>
      <c r="C66" s="143" t="s">
        <v>3718</v>
      </c>
      <c r="D66" s="144"/>
      <c r="E66" s="728"/>
      <c r="F66" s="198">
        <f t="shared" si="4"/>
        <v>0</v>
      </c>
      <c r="G66" s="144"/>
      <c r="H66" s="182">
        <f t="shared" si="5"/>
        <v>0</v>
      </c>
    </row>
    <row r="67" spans="1:8">
      <c r="A67" s="149" t="s">
        <v>2810</v>
      </c>
      <c r="B67" s="150"/>
      <c r="C67" s="151" t="s">
        <v>3719</v>
      </c>
      <c r="D67" s="141">
        <f>SUM(D68:D75)</f>
        <v>9710000</v>
      </c>
      <c r="E67" s="727" t="s">
        <v>233</v>
      </c>
      <c r="F67" s="197">
        <f t="shared" si="4"/>
        <v>1.1899509803921569E-2</v>
      </c>
      <c r="G67" s="141">
        <f>SUM(G68:G75)</f>
        <v>25500000</v>
      </c>
      <c r="H67" s="181">
        <f>SUM(H68:H75)</f>
        <v>30410000</v>
      </c>
    </row>
    <row r="68" spans="1:8" ht="36">
      <c r="A68" s="156"/>
      <c r="B68" s="238" t="s">
        <v>4308</v>
      </c>
      <c r="C68" s="143" t="s">
        <v>4309</v>
      </c>
      <c r="D68" s="144">
        <v>60000</v>
      </c>
      <c r="E68" s="728" t="s">
        <v>233</v>
      </c>
      <c r="F68" s="198">
        <f t="shared" si="4"/>
        <v>7.3529411764705876E-5</v>
      </c>
      <c r="G68" s="144"/>
      <c r="H68" s="182">
        <f>D68+G68</f>
        <v>60000</v>
      </c>
    </row>
    <row r="69" spans="1:8" ht="24">
      <c r="A69" s="156"/>
      <c r="B69" s="238" t="s">
        <v>4556</v>
      </c>
      <c r="C69" s="1118" t="s">
        <v>4557</v>
      </c>
      <c r="D69" s="144">
        <v>4800000</v>
      </c>
      <c r="E69" s="728" t="s">
        <v>233</v>
      </c>
      <c r="F69" s="198"/>
      <c r="G69" s="144"/>
      <c r="H69" s="144"/>
    </row>
    <row r="70" spans="1:8">
      <c r="A70" s="156"/>
      <c r="B70" s="237">
        <v>742251</v>
      </c>
      <c r="C70" s="155" t="s">
        <v>4310</v>
      </c>
      <c r="D70" s="144">
        <v>1000000</v>
      </c>
      <c r="E70" s="728" t="s">
        <v>233</v>
      </c>
      <c r="F70" s="198">
        <f t="shared" si="4"/>
        <v>1.2254901960784314E-3</v>
      </c>
      <c r="G70" s="144"/>
      <c r="H70" s="182">
        <f t="shared" ref="H70:H75" si="6">D70+G70</f>
        <v>1000000</v>
      </c>
    </row>
    <row r="71" spans="1:8">
      <c r="A71" s="156"/>
      <c r="B71" s="239">
        <v>742252</v>
      </c>
      <c r="C71" s="143" t="s">
        <v>46</v>
      </c>
      <c r="D71" s="144">
        <v>0</v>
      </c>
      <c r="E71" s="728"/>
      <c r="F71" s="198">
        <f t="shared" si="4"/>
        <v>0</v>
      </c>
      <c r="G71" s="144"/>
      <c r="H71" s="182">
        <f t="shared" si="6"/>
        <v>0</v>
      </c>
    </row>
    <row r="72" spans="1:8">
      <c r="A72" s="156"/>
      <c r="B72" s="237">
        <v>742253</v>
      </c>
      <c r="C72" s="155" t="s">
        <v>48</v>
      </c>
      <c r="D72" s="144">
        <v>1450000</v>
      </c>
      <c r="E72" s="728" t="s">
        <v>233</v>
      </c>
      <c r="F72" s="198">
        <f t="shared" si="4"/>
        <v>1.7769607843137255E-3</v>
      </c>
      <c r="G72" s="144"/>
      <c r="H72" s="182">
        <f t="shared" si="6"/>
        <v>1450000</v>
      </c>
    </row>
    <row r="73" spans="1:8" ht="24">
      <c r="A73" s="156"/>
      <c r="B73" s="237">
        <v>742254</v>
      </c>
      <c r="C73" s="155" t="s">
        <v>3720</v>
      </c>
      <c r="D73" s="144">
        <v>0</v>
      </c>
      <c r="E73" s="728"/>
      <c r="F73" s="198">
        <f t="shared" si="4"/>
        <v>0</v>
      </c>
      <c r="G73" s="144"/>
      <c r="H73" s="182">
        <f t="shared" si="6"/>
        <v>0</v>
      </c>
    </row>
    <row r="74" spans="1:8">
      <c r="A74" s="156"/>
      <c r="B74" s="237">
        <v>742255</v>
      </c>
      <c r="C74" s="155" t="s">
        <v>4460</v>
      </c>
      <c r="D74" s="144">
        <v>1700000</v>
      </c>
      <c r="E74" s="728" t="s">
        <v>233</v>
      </c>
      <c r="F74" s="198">
        <f t="shared" si="4"/>
        <v>2.0833333333333333E-3</v>
      </c>
      <c r="G74" s="144"/>
      <c r="H74" s="144">
        <f t="shared" si="6"/>
        <v>1700000</v>
      </c>
    </row>
    <row r="75" spans="1:8" ht="24">
      <c r="A75" s="156"/>
      <c r="B75" s="237">
        <v>742351</v>
      </c>
      <c r="C75" s="155" t="s">
        <v>4555</v>
      </c>
      <c r="D75" s="144">
        <v>700000</v>
      </c>
      <c r="E75" s="728" t="s">
        <v>233</v>
      </c>
      <c r="F75" s="198">
        <f t="shared" si="4"/>
        <v>8.5784313725490195E-4</v>
      </c>
      <c r="G75" s="144">
        <v>25500000</v>
      </c>
      <c r="H75" s="182">
        <f t="shared" si="6"/>
        <v>26200000</v>
      </c>
    </row>
    <row r="76" spans="1:8" ht="23.25" customHeight="1">
      <c r="A76" s="149" t="s">
        <v>2914</v>
      </c>
      <c r="B76" s="150"/>
      <c r="C76" s="151" t="s">
        <v>3721</v>
      </c>
      <c r="D76" s="141">
        <f>SUM(D77:D78)</f>
        <v>8010000</v>
      </c>
      <c r="E76" s="727" t="s">
        <v>233</v>
      </c>
      <c r="F76" s="197">
        <f t="shared" ref="F76:F104" si="7">IFERROR(D76/$D$104,"-")</f>
        <v>9.8161764705882362E-3</v>
      </c>
      <c r="G76" s="141">
        <f>SUM(G77:G78)</f>
        <v>0</v>
      </c>
      <c r="H76" s="181">
        <f>SUM(H77:H78)</f>
        <v>8010000</v>
      </c>
    </row>
    <row r="77" spans="1:8" ht="24">
      <c r="A77" s="156"/>
      <c r="B77" s="240" t="s">
        <v>2938</v>
      </c>
      <c r="C77" s="1118" t="s">
        <v>3722</v>
      </c>
      <c r="D77" s="144">
        <v>8000000</v>
      </c>
      <c r="E77" s="728" t="s">
        <v>233</v>
      </c>
      <c r="F77" s="198">
        <f t="shared" si="7"/>
        <v>9.8039215686274508E-3</v>
      </c>
      <c r="G77" s="144"/>
      <c r="H77" s="182">
        <f>D77+G77</f>
        <v>8000000</v>
      </c>
    </row>
    <row r="78" spans="1:8">
      <c r="A78" s="156"/>
      <c r="B78" s="238" t="s">
        <v>4311</v>
      </c>
      <c r="C78" s="143" t="s">
        <v>4312</v>
      </c>
      <c r="D78" s="144">
        <v>10000</v>
      </c>
      <c r="E78" s="728"/>
      <c r="F78" s="198">
        <f t="shared" si="7"/>
        <v>1.2254901960784313E-5</v>
      </c>
      <c r="G78" s="144"/>
      <c r="H78" s="182">
        <f>D78+G78</f>
        <v>10000</v>
      </c>
    </row>
    <row r="79" spans="1:8" ht="24">
      <c r="A79" s="149" t="s">
        <v>2987</v>
      </c>
      <c r="B79" s="150"/>
      <c r="C79" s="151" t="s">
        <v>3723</v>
      </c>
      <c r="D79" s="141">
        <f>SUM(D80:D81)</f>
        <v>3580000</v>
      </c>
      <c r="E79" s="727" t="s">
        <v>247</v>
      </c>
      <c r="F79" s="197">
        <f t="shared" si="7"/>
        <v>4.387254901960784E-3</v>
      </c>
      <c r="G79" s="141">
        <f>SUM(G80:G81)</f>
        <v>0</v>
      </c>
      <c r="H79" s="181">
        <f>SUM(H80:H81)</f>
        <v>3580000</v>
      </c>
    </row>
    <row r="80" spans="1:8" ht="24">
      <c r="A80" s="156"/>
      <c r="B80" s="238" t="s">
        <v>2996</v>
      </c>
      <c r="C80" s="143" t="s">
        <v>3724</v>
      </c>
      <c r="D80" s="144"/>
      <c r="E80" s="728"/>
      <c r="F80" s="198">
        <f t="shared" si="7"/>
        <v>0</v>
      </c>
      <c r="G80" s="144"/>
      <c r="H80" s="182">
        <f>D80+G80</f>
        <v>0</v>
      </c>
    </row>
    <row r="81" spans="1:8" ht="24">
      <c r="A81" s="156"/>
      <c r="B81" s="238" t="s">
        <v>4681</v>
      </c>
      <c r="C81" s="143" t="s">
        <v>4680</v>
      </c>
      <c r="D81" s="144">
        <v>3580000</v>
      </c>
      <c r="E81" s="728" t="s">
        <v>247</v>
      </c>
      <c r="F81" s="198">
        <f t="shared" si="7"/>
        <v>4.387254901960784E-3</v>
      </c>
      <c r="G81" s="144"/>
      <c r="H81" s="182">
        <f>D81+G81</f>
        <v>3580000</v>
      </c>
    </row>
    <row r="82" spans="1:8">
      <c r="A82" s="149" t="s">
        <v>3014</v>
      </c>
      <c r="B82" s="150"/>
      <c r="C82" s="151" t="s">
        <v>3725</v>
      </c>
      <c r="D82" s="141">
        <f>D83+D84</f>
        <v>4550000</v>
      </c>
      <c r="E82" s="727" t="s">
        <v>233</v>
      </c>
      <c r="F82" s="197">
        <f t="shared" si="7"/>
        <v>5.5759803921568629E-3</v>
      </c>
      <c r="G82" s="141">
        <f>SUM(G84:G86)</f>
        <v>0</v>
      </c>
      <c r="H82" s="181">
        <f>SUM(H84:H86)</f>
        <v>0</v>
      </c>
    </row>
    <row r="83" spans="1:8">
      <c r="A83" s="156"/>
      <c r="B83" s="238" t="s">
        <v>4313</v>
      </c>
      <c r="C83" s="155" t="s">
        <v>4314</v>
      </c>
      <c r="D83" s="144">
        <v>4250000</v>
      </c>
      <c r="E83" s="728" t="s">
        <v>233</v>
      </c>
      <c r="F83" s="198">
        <f t="shared" ref="F83" si="8">IFERROR(D83/$D$104,"-")</f>
        <v>5.208333333333333E-3</v>
      </c>
      <c r="G83" s="144"/>
      <c r="H83" s="182">
        <f>D83+G83</f>
        <v>4250000</v>
      </c>
    </row>
    <row r="84" spans="1:8" ht="24">
      <c r="A84" s="156"/>
      <c r="B84" s="238" t="s">
        <v>4553</v>
      </c>
      <c r="C84" s="155" t="s">
        <v>4554</v>
      </c>
      <c r="D84" s="144">
        <v>300000</v>
      </c>
      <c r="E84" s="728" t="s">
        <v>233</v>
      </c>
      <c r="F84" s="198"/>
      <c r="G84" s="144"/>
      <c r="H84" s="182"/>
    </row>
    <row r="85" spans="1:8" hidden="1">
      <c r="A85" s="156"/>
      <c r="B85" s="238" t="s">
        <v>3037</v>
      </c>
      <c r="C85" s="155" t="s">
        <v>3747</v>
      </c>
      <c r="D85" s="144"/>
      <c r="E85" s="728"/>
      <c r="F85" s="198">
        <f t="shared" si="7"/>
        <v>0</v>
      </c>
      <c r="G85" s="144"/>
      <c r="H85" s="182">
        <f>D85+G85</f>
        <v>0</v>
      </c>
    </row>
    <row r="86" spans="1:8" ht="24" hidden="1">
      <c r="A86" s="156"/>
      <c r="B86" s="238" t="s">
        <v>3039</v>
      </c>
      <c r="C86" s="155" t="s">
        <v>3748</v>
      </c>
      <c r="D86" s="144"/>
      <c r="E86" s="728"/>
      <c r="F86" s="198">
        <f t="shared" si="7"/>
        <v>0</v>
      </c>
      <c r="G86" s="144"/>
      <c r="H86" s="182">
        <f>D86+G86</f>
        <v>0</v>
      </c>
    </row>
    <row r="87" spans="1:8" hidden="1">
      <c r="A87" s="159" t="s">
        <v>3053</v>
      </c>
      <c r="B87" s="160"/>
      <c r="C87" s="161" t="s">
        <v>3726</v>
      </c>
      <c r="D87" s="162">
        <f>SUM(D88)</f>
        <v>0</v>
      </c>
      <c r="E87" s="729"/>
      <c r="F87" s="199">
        <f t="shared" si="7"/>
        <v>0</v>
      </c>
      <c r="G87" s="162">
        <f>SUM(G88)</f>
        <v>0</v>
      </c>
      <c r="H87" s="183">
        <f>SUM(H88)</f>
        <v>0</v>
      </c>
    </row>
    <row r="88" spans="1:8" hidden="1">
      <c r="A88" s="156"/>
      <c r="B88" s="240" t="s">
        <v>3055</v>
      </c>
      <c r="C88" s="155" t="s">
        <v>55</v>
      </c>
      <c r="D88" s="144"/>
      <c r="E88" s="728"/>
      <c r="F88" s="198">
        <f t="shared" si="7"/>
        <v>0</v>
      </c>
      <c r="G88" s="144"/>
      <c r="H88" s="182">
        <f>D88+G88</f>
        <v>0</v>
      </c>
    </row>
    <row r="89" spans="1:8" hidden="1">
      <c r="A89" s="159" t="s">
        <v>3085</v>
      </c>
      <c r="B89" s="160"/>
      <c r="C89" s="161" t="s">
        <v>3727</v>
      </c>
      <c r="D89" s="162">
        <f>SUM(D90)</f>
        <v>0</v>
      </c>
      <c r="E89" s="729"/>
      <c r="F89" s="199">
        <f t="shared" si="7"/>
        <v>0</v>
      </c>
      <c r="G89" s="162">
        <f>SUM(G90)</f>
        <v>0</v>
      </c>
      <c r="H89" s="183">
        <f>SUM(H90)</f>
        <v>0</v>
      </c>
    </row>
    <row r="90" spans="1:8" hidden="1">
      <c r="A90" s="156"/>
      <c r="B90" s="148" t="s">
        <v>3087</v>
      </c>
      <c r="C90" s="155" t="s">
        <v>234</v>
      </c>
      <c r="D90" s="144"/>
      <c r="E90" s="728"/>
      <c r="F90" s="198">
        <f t="shared" si="7"/>
        <v>0</v>
      </c>
      <c r="G90" s="144"/>
      <c r="H90" s="182">
        <f>D90+G90</f>
        <v>0</v>
      </c>
    </row>
    <row r="91" spans="1:8">
      <c r="A91" s="163" t="s">
        <v>3088</v>
      </c>
      <c r="B91" s="164"/>
      <c r="C91" s="165" t="s">
        <v>3728</v>
      </c>
      <c r="D91" s="166">
        <f>D92+D95</f>
        <v>98300000</v>
      </c>
      <c r="E91" s="730" t="s">
        <v>248</v>
      </c>
      <c r="F91" s="200">
        <f t="shared" si="7"/>
        <v>0.12046568627450981</v>
      </c>
      <c r="G91" s="166">
        <f>G92+G95</f>
        <v>0</v>
      </c>
      <c r="H91" s="184">
        <f>H92+H95</f>
        <v>98300000</v>
      </c>
    </row>
    <row r="92" spans="1:8">
      <c r="A92" s="167">
        <v>810000</v>
      </c>
      <c r="B92" s="160"/>
      <c r="C92" s="168" t="s">
        <v>3729</v>
      </c>
      <c r="D92" s="162">
        <f>SUM(D93:D94)</f>
        <v>1800000</v>
      </c>
      <c r="E92" s="729" t="s">
        <v>248</v>
      </c>
      <c r="F92" s="199">
        <f t="shared" si="7"/>
        <v>2.2058823529411764E-3</v>
      </c>
      <c r="G92" s="162">
        <f>SUM(G93:G94)</f>
        <v>0</v>
      </c>
      <c r="H92" s="183">
        <f>SUM(H93:H94)</f>
        <v>1800000</v>
      </c>
    </row>
    <row r="93" spans="1:8">
      <c r="A93" s="156"/>
      <c r="B93" s="158">
        <v>811000</v>
      </c>
      <c r="C93" s="158" t="s">
        <v>3730</v>
      </c>
      <c r="D93" s="144">
        <v>0</v>
      </c>
      <c r="E93" s="728"/>
      <c r="F93" s="198">
        <f t="shared" si="7"/>
        <v>0</v>
      </c>
      <c r="G93" s="144"/>
      <c r="H93" s="182">
        <f>D93+G93</f>
        <v>0</v>
      </c>
    </row>
    <row r="94" spans="1:8">
      <c r="A94" s="156"/>
      <c r="B94" s="158">
        <v>812000</v>
      </c>
      <c r="C94" s="158" t="s">
        <v>3731</v>
      </c>
      <c r="D94" s="144">
        <v>1800000</v>
      </c>
      <c r="E94" s="728" t="s">
        <v>248</v>
      </c>
      <c r="F94" s="198">
        <f t="shared" si="7"/>
        <v>2.2058823529411764E-3</v>
      </c>
      <c r="G94" s="144"/>
      <c r="H94" s="182">
        <f>D94+G94</f>
        <v>1800000</v>
      </c>
    </row>
    <row r="95" spans="1:8">
      <c r="A95" s="167">
        <v>840000</v>
      </c>
      <c r="B95" s="169"/>
      <c r="C95" s="170" t="s">
        <v>4319</v>
      </c>
      <c r="D95" s="171">
        <f>SUM(D96)</f>
        <v>96500000</v>
      </c>
      <c r="E95" s="731" t="s">
        <v>248</v>
      </c>
      <c r="F95" s="201">
        <f t="shared" si="7"/>
        <v>0.11825980392156862</v>
      </c>
      <c r="G95" s="171">
        <f>SUM(G96)</f>
        <v>0</v>
      </c>
      <c r="H95" s="185">
        <f>SUM(H96)</f>
        <v>96500000</v>
      </c>
    </row>
    <row r="96" spans="1:8">
      <c r="A96" s="156"/>
      <c r="B96" s="158">
        <v>841000</v>
      </c>
      <c r="C96" s="158" t="s">
        <v>4318</v>
      </c>
      <c r="D96" s="144">
        <v>96500000</v>
      </c>
      <c r="E96" s="728" t="s">
        <v>248</v>
      </c>
      <c r="F96" s="198">
        <f t="shared" si="7"/>
        <v>0.11825980392156862</v>
      </c>
      <c r="G96" s="144"/>
      <c r="H96" s="182">
        <f>D96+G96</f>
        <v>96500000</v>
      </c>
    </row>
    <row r="97" spans="1:8" hidden="1">
      <c r="A97" s="163" t="s">
        <v>3214</v>
      </c>
      <c r="B97" s="172"/>
      <c r="C97" s="173" t="s">
        <v>3732</v>
      </c>
      <c r="D97" s="166">
        <f>SUM(D98,D101)</f>
        <v>0</v>
      </c>
      <c r="E97" s="730"/>
      <c r="F97" s="236">
        <f t="shared" si="7"/>
        <v>0</v>
      </c>
      <c r="G97" s="166">
        <f>SUM(G98,G101)</f>
        <v>0</v>
      </c>
      <c r="H97" s="184">
        <f>SUM(H98,H101)</f>
        <v>0</v>
      </c>
    </row>
    <row r="98" spans="1:8" hidden="1">
      <c r="A98" s="159" t="s">
        <v>3216</v>
      </c>
      <c r="B98" s="160"/>
      <c r="C98" s="161" t="s">
        <v>3733</v>
      </c>
      <c r="D98" s="162">
        <f>SUM(D99:D100)</f>
        <v>0</v>
      </c>
      <c r="E98" s="729"/>
      <c r="F98" s="199">
        <f t="shared" si="7"/>
        <v>0</v>
      </c>
      <c r="G98" s="162">
        <f>SUM(G99:G100)</f>
        <v>0</v>
      </c>
      <c r="H98" s="183">
        <f>SUM(H99:H100)</f>
        <v>0</v>
      </c>
    </row>
    <row r="99" spans="1:8" ht="24" hidden="1">
      <c r="A99" s="148"/>
      <c r="B99" s="148" t="s">
        <v>3256</v>
      </c>
      <c r="C99" s="143" t="s">
        <v>3734</v>
      </c>
      <c r="D99" s="144"/>
      <c r="E99" s="728"/>
      <c r="F99" s="198">
        <f t="shared" si="7"/>
        <v>0</v>
      </c>
      <c r="G99" s="144"/>
      <c r="H99" s="182">
        <f>D99+G99</f>
        <v>0</v>
      </c>
    </row>
    <row r="100" spans="1:8" hidden="1">
      <c r="A100" s="156"/>
      <c r="B100" s="148" t="s">
        <v>3735</v>
      </c>
      <c r="C100" s="155" t="s">
        <v>3736</v>
      </c>
      <c r="D100" s="144"/>
      <c r="E100" s="728"/>
      <c r="F100" s="198">
        <f t="shared" si="7"/>
        <v>0</v>
      </c>
      <c r="G100" s="144"/>
      <c r="H100" s="182">
        <f>D100+G100</f>
        <v>0</v>
      </c>
    </row>
    <row r="101" spans="1:8" hidden="1">
      <c r="A101" s="159" t="s">
        <v>3386</v>
      </c>
      <c r="B101" s="160"/>
      <c r="C101" s="161" t="s">
        <v>3737</v>
      </c>
      <c r="D101" s="162">
        <f>SUM(D102)</f>
        <v>0</v>
      </c>
      <c r="E101" s="729"/>
      <c r="F101" s="199">
        <f t="shared" si="7"/>
        <v>0</v>
      </c>
      <c r="G101" s="162">
        <f>SUM(G102)</f>
        <v>0</v>
      </c>
      <c r="H101" s="183">
        <f>SUM(H102)</f>
        <v>0</v>
      </c>
    </row>
    <row r="102" spans="1:8" ht="24" hidden="1">
      <c r="A102" s="156"/>
      <c r="B102" s="148" t="s">
        <v>3478</v>
      </c>
      <c r="C102" s="147" t="s">
        <v>3738</v>
      </c>
      <c r="D102" s="144"/>
      <c r="E102" s="728"/>
      <c r="F102" s="198">
        <f t="shared" si="7"/>
        <v>0</v>
      </c>
      <c r="G102" s="144"/>
      <c r="H102" s="182">
        <f>D102+G102</f>
        <v>0</v>
      </c>
    </row>
    <row r="103" spans="1:8" ht="33.75" customHeight="1">
      <c r="A103" s="174"/>
      <c r="B103" s="174" t="s">
        <v>3739</v>
      </c>
      <c r="C103" s="175" t="s">
        <v>3740</v>
      </c>
      <c r="D103" s="130">
        <f>SUM(D4,D91,D97)</f>
        <v>725000000</v>
      </c>
      <c r="E103" s="724"/>
      <c r="F103" s="194">
        <f t="shared" si="7"/>
        <v>0.8884803921568627</v>
      </c>
      <c r="G103" s="130">
        <f>SUM(G4,G91,G97)</f>
        <v>218700000</v>
      </c>
      <c r="H103" s="178">
        <f>SUM(H4,H91,H97)</f>
        <v>916650000</v>
      </c>
    </row>
    <row r="104" spans="1:8" ht="40.5" customHeight="1">
      <c r="A104" s="189"/>
      <c r="B104" s="190" t="s">
        <v>3741</v>
      </c>
      <c r="C104" s="191" t="s">
        <v>4019</v>
      </c>
      <c r="D104" s="192">
        <f>SUM(D3,D4,D91,D97)</f>
        <v>816000000</v>
      </c>
      <c r="E104" s="732"/>
      <c r="F104" s="202">
        <f t="shared" si="7"/>
        <v>1</v>
      </c>
      <c r="G104" s="192">
        <f>SUM(G3,G4,G91,G97)</f>
        <v>218700000</v>
      </c>
      <c r="H104" s="193">
        <f>D104+G104</f>
        <v>1034700000</v>
      </c>
    </row>
    <row r="105" spans="1:8">
      <c r="A105" s="176"/>
      <c r="B105" s="176"/>
      <c r="C105" s="177"/>
      <c r="D105" s="187"/>
      <c r="E105" s="187"/>
      <c r="F105" s="188"/>
      <c r="G105" s="187"/>
      <c r="H105" s="187"/>
    </row>
    <row r="106" spans="1:8">
      <c r="D106" s="501">
        <f>D104-'По основ. нам.'!C86</f>
        <v>0</v>
      </c>
      <c r="E106" s="501"/>
      <c r="G106" s="241">
        <f>G104-'По основ. нам.'!E86</f>
        <v>0</v>
      </c>
      <c r="H106" s="241">
        <f>H104-Ukupno_izdaci</f>
        <v>0</v>
      </c>
    </row>
  </sheetData>
  <mergeCells count="5">
    <mergeCell ref="D1:G1"/>
    <mergeCell ref="H1:H2"/>
    <mergeCell ref="A1:A2"/>
    <mergeCell ref="B1:B2"/>
    <mergeCell ref="C1:C2"/>
  </mergeCells>
  <conditionalFormatting sqref="D106:H106">
    <cfRule type="cellIs" dxfId="4" priority="1" operator="lessThan">
      <formula>0</formula>
    </cfRule>
  </conditionalFormatting>
  <pageMargins left="0.24" right="0.32" top="0.75" bottom="0.75" header="0.3" footer="0.3"/>
  <pageSetup paperSize="9" orientation="landscape" r:id="rId1"/>
  <legacyDrawing r:id="rId2"/>
</worksheet>
</file>

<file path=xl/worksheets/sheet4.xml><?xml version="1.0" encoding="utf-8"?>
<worksheet xmlns="http://schemas.openxmlformats.org/spreadsheetml/2006/main" xmlns:r="http://schemas.openxmlformats.org/officeDocument/2006/relationships">
  <sheetPr>
    <tabColor theme="1"/>
  </sheetPr>
  <dimension ref="A1:I92"/>
  <sheetViews>
    <sheetView topLeftCell="C43" workbookViewId="0">
      <selection activeCell="K86" sqref="K86"/>
    </sheetView>
  </sheetViews>
  <sheetFormatPr defaultRowHeight="15"/>
  <cols>
    <col min="1" max="1" width="8.5703125" style="209" hidden="1" customWidth="1"/>
    <col min="2" max="2" width="6.7109375" style="809" hidden="1" customWidth="1"/>
    <col min="3" max="3" width="42.85546875" style="273" customWidth="1"/>
    <col min="4" max="4" width="15.42578125" style="273" customWidth="1"/>
    <col min="5" max="5" width="21.140625" style="127" customWidth="1"/>
    <col min="6" max="6" width="15.5703125" style="127" customWidth="1"/>
    <col min="7" max="7" width="14" style="127" customWidth="1"/>
    <col min="8" max="8" width="16.5703125" style="815" customWidth="1"/>
    <col min="9" max="16384" width="9.140625" style="88"/>
  </cols>
  <sheetData>
    <row r="1" spans="1:9" ht="15" customHeight="1">
      <c r="A1" s="1157" t="s">
        <v>4634</v>
      </c>
      <c r="B1" s="1157"/>
      <c r="C1" s="1157"/>
      <c r="D1" s="1157"/>
      <c r="E1" s="1157"/>
      <c r="F1" s="1157"/>
      <c r="G1" s="1157"/>
      <c r="H1" s="771"/>
    </row>
    <row r="3" spans="1:9" ht="25.5" customHeight="1">
      <c r="A3" s="824" t="s">
        <v>3852</v>
      </c>
      <c r="B3" s="1158" t="s">
        <v>3853</v>
      </c>
      <c r="C3" s="1160" t="s">
        <v>263</v>
      </c>
      <c r="D3" s="1163" t="s">
        <v>4632</v>
      </c>
      <c r="E3" s="1164"/>
      <c r="F3" s="1164"/>
      <c r="G3" s="1165"/>
      <c r="H3" s="1155" t="s">
        <v>4616</v>
      </c>
    </row>
    <row r="4" spans="1:9" ht="22.5" customHeight="1">
      <c r="A4" s="824" t="s">
        <v>3854</v>
      </c>
      <c r="B4" s="1159"/>
      <c r="C4" s="1160"/>
      <c r="D4" s="770" t="s">
        <v>4614</v>
      </c>
      <c r="E4" s="125">
        <v>2018</v>
      </c>
      <c r="F4" s="125">
        <v>2019</v>
      </c>
      <c r="G4" s="125">
        <v>2020</v>
      </c>
      <c r="H4" s="1156"/>
    </row>
    <row r="5" spans="1:9" ht="15.75">
      <c r="A5" s="825">
        <v>1</v>
      </c>
      <c r="B5" s="808">
        <v>2</v>
      </c>
      <c r="C5" s="271">
        <v>3</v>
      </c>
      <c r="D5" s="271" t="s">
        <v>4615</v>
      </c>
      <c r="E5" s="126">
        <v>5</v>
      </c>
      <c r="F5" s="126">
        <v>6</v>
      </c>
      <c r="G5" s="126">
        <v>7</v>
      </c>
      <c r="H5" s="816">
        <v>8</v>
      </c>
    </row>
    <row r="6" spans="1:9" ht="15.75">
      <c r="A6" s="1161"/>
      <c r="B6" s="1162"/>
      <c r="C6" s="813" t="s">
        <v>4609</v>
      </c>
      <c r="D6" s="834">
        <f>D7+D11+D14+D19+D22+D25+D28+D31+D34+D37+D40+D45+D48+D52+D55+D60+D64+D68+D71+D75+D78+D82</f>
        <v>65200000</v>
      </c>
      <c r="E6" s="834">
        <f>E7+E11+E14+E19+E22+E25+E28+E31+E34+E37+E40+E45+E48+E52+E55+E60+E64+E68+E71+E75+E78+E82</f>
        <v>328030000</v>
      </c>
      <c r="F6" s="834">
        <f t="shared" ref="F6:H6" si="0">F7+F11+F14+F19+F22+F25+F28+F31+F34+F37+F40+F45+F48+F52+F55+F60+F64+F68+F71+F75+F78+F82</f>
        <v>12350000</v>
      </c>
      <c r="G6" s="834">
        <f t="shared" si="0"/>
        <v>0</v>
      </c>
      <c r="H6" s="834">
        <f t="shared" si="0"/>
        <v>405580000</v>
      </c>
    </row>
    <row r="7" spans="1:9" ht="31.5">
      <c r="A7" s="1104"/>
      <c r="B7" s="1105"/>
      <c r="C7" s="818" t="s">
        <v>4755</v>
      </c>
      <c r="D7" s="836"/>
      <c r="E7" s="837">
        <f>E9+E10</f>
        <v>19800000</v>
      </c>
      <c r="F7" s="837">
        <f>SUM(F10:F10)</f>
        <v>0</v>
      </c>
      <c r="G7" s="837">
        <f>SUM(G10:G10)</f>
        <v>0</v>
      </c>
      <c r="H7" s="838">
        <f>H9+H10</f>
        <v>19800000</v>
      </c>
      <c r="I7" s="1106"/>
    </row>
    <row r="8" spans="1:9" ht="15.75">
      <c r="A8" s="1104"/>
      <c r="B8" s="1105"/>
      <c r="C8" s="272" t="s">
        <v>3855</v>
      </c>
      <c r="D8" s="839"/>
      <c r="E8" s="840"/>
      <c r="F8" s="841"/>
      <c r="G8" s="841"/>
      <c r="H8" s="205"/>
      <c r="I8" s="1106"/>
    </row>
    <row r="9" spans="1:9" ht="15.75">
      <c r="A9" s="1104"/>
      <c r="B9" s="1105"/>
      <c r="C9" s="274" t="s">
        <v>3857</v>
      </c>
      <c r="D9" s="839"/>
      <c r="E9" s="840">
        <v>13100000</v>
      </c>
      <c r="F9" s="841"/>
      <c r="G9" s="841"/>
      <c r="H9" s="820">
        <f>SUM(D9:G9)</f>
        <v>13100000</v>
      </c>
      <c r="I9" s="1106"/>
    </row>
    <row r="10" spans="1:9" ht="15.75">
      <c r="A10" s="1104"/>
      <c r="B10" s="1105"/>
      <c r="C10" s="272" t="s">
        <v>4641</v>
      </c>
      <c r="D10" s="842"/>
      <c r="E10" s="840">
        <v>6700000</v>
      </c>
      <c r="F10" s="843"/>
      <c r="G10" s="843"/>
      <c r="H10" s="820">
        <f>SUM(D10:G10)</f>
        <v>6700000</v>
      </c>
      <c r="I10" s="1106"/>
    </row>
    <row r="11" spans="1:9" ht="31.5">
      <c r="A11" s="1104"/>
      <c r="B11" s="1105"/>
      <c r="C11" s="818" t="s">
        <v>4705</v>
      </c>
      <c r="D11" s="836"/>
      <c r="E11" s="837">
        <f>SUM(E13:E13)</f>
        <v>3580000</v>
      </c>
      <c r="F11" s="837">
        <f>SUM(F13:F13)</f>
        <v>0</v>
      </c>
      <c r="G11" s="837">
        <f>SUM(G13:G13)</f>
        <v>0</v>
      </c>
      <c r="H11" s="838">
        <f>SUM(D11:G11)</f>
        <v>3580000</v>
      </c>
      <c r="I11" s="1106"/>
    </row>
    <row r="12" spans="1:9" ht="15.75">
      <c r="A12" s="1104"/>
      <c r="B12" s="1105"/>
      <c r="C12" s="272" t="s">
        <v>3855</v>
      </c>
      <c r="D12" s="839"/>
      <c r="E12" s="840"/>
      <c r="F12" s="841"/>
      <c r="G12" s="841"/>
      <c r="H12" s="205"/>
      <c r="I12" s="1106"/>
    </row>
    <row r="13" spans="1:9" ht="15.75">
      <c r="A13" s="1104"/>
      <c r="B13" s="1105"/>
      <c r="C13" s="272" t="s">
        <v>4706</v>
      </c>
      <c r="D13" s="842"/>
      <c r="E13" s="840">
        <v>3580000</v>
      </c>
      <c r="F13" s="843"/>
      <c r="G13" s="843"/>
      <c r="H13" s="820">
        <f>SUM(D13:G13)</f>
        <v>3580000</v>
      </c>
      <c r="I13" s="1106"/>
    </row>
    <row r="14" spans="1:9" ht="38.25" customHeight="1">
      <c r="A14" s="826">
        <v>511</v>
      </c>
      <c r="B14" s="817">
        <v>2</v>
      </c>
      <c r="C14" s="818" t="s">
        <v>4619</v>
      </c>
      <c r="D14" s="837">
        <f>SUM(D16:D18)</f>
        <v>14000000</v>
      </c>
      <c r="E14" s="837">
        <f>SUM(E16:E18)</f>
        <v>4600000</v>
      </c>
      <c r="F14" s="837">
        <f>SUM(F16:F18)</f>
        <v>0</v>
      </c>
      <c r="G14" s="837">
        <f>SUM(G16:G18)</f>
        <v>0</v>
      </c>
      <c r="H14" s="1113">
        <f>SUM(D14:G14)</f>
        <v>18600000</v>
      </c>
      <c r="I14" s="1106"/>
    </row>
    <row r="15" spans="1:9" ht="15.75">
      <c r="A15" s="825"/>
      <c r="B15" s="808"/>
      <c r="C15" s="274" t="s">
        <v>3855</v>
      </c>
      <c r="D15" s="845"/>
      <c r="E15" s="840"/>
      <c r="F15" s="840"/>
      <c r="G15" s="840"/>
      <c r="H15" s="1111"/>
      <c r="I15" s="1106"/>
    </row>
    <row r="16" spans="1:9" ht="15.75">
      <c r="A16" s="825"/>
      <c r="B16" s="808"/>
      <c r="C16" s="274" t="s">
        <v>4641</v>
      </c>
      <c r="D16" s="845">
        <v>8500000</v>
      </c>
      <c r="E16" s="840"/>
      <c r="F16" s="840">
        <v>0</v>
      </c>
      <c r="G16" s="840">
        <v>0</v>
      </c>
      <c r="H16" s="1112">
        <f>SUM(D16:G16)</f>
        <v>8500000</v>
      </c>
      <c r="I16" s="1106"/>
    </row>
    <row r="17" spans="1:9" ht="15.75">
      <c r="A17" s="825"/>
      <c r="B17" s="808"/>
      <c r="C17" s="274" t="s">
        <v>4638</v>
      </c>
      <c r="D17" s="845"/>
      <c r="E17" s="840">
        <v>2600000</v>
      </c>
      <c r="F17" s="840"/>
      <c r="G17" s="840"/>
      <c r="H17" s="1112">
        <f>SUM(D17:G17)</f>
        <v>2600000</v>
      </c>
      <c r="I17" s="1106"/>
    </row>
    <row r="18" spans="1:9" ht="15.75">
      <c r="A18" s="825"/>
      <c r="B18" s="808"/>
      <c r="C18" s="274" t="s">
        <v>3857</v>
      </c>
      <c r="D18" s="845">
        <v>5500000</v>
      </c>
      <c r="E18" s="840">
        <v>2000000</v>
      </c>
      <c r="F18" s="840"/>
      <c r="G18" s="840"/>
      <c r="H18" s="1112">
        <f>SUM(D18:G18)</f>
        <v>7500000</v>
      </c>
      <c r="I18" s="1106"/>
    </row>
    <row r="19" spans="1:9" ht="31.5">
      <c r="A19" s="826">
        <v>541</v>
      </c>
      <c r="B19" s="817">
        <v>3</v>
      </c>
      <c r="C19" s="818" t="s">
        <v>4617</v>
      </c>
      <c r="D19" s="836">
        <f>D21</f>
        <v>7000000</v>
      </c>
      <c r="E19" s="837">
        <v>3650000</v>
      </c>
      <c r="F19" s="837">
        <v>3350000</v>
      </c>
      <c r="G19" s="837">
        <f>SUM(G21:G21)</f>
        <v>0</v>
      </c>
      <c r="H19" s="1110">
        <f>SUM(D19:G19)</f>
        <v>14000000</v>
      </c>
      <c r="I19" s="1106"/>
    </row>
    <row r="20" spans="1:9" ht="15.75">
      <c r="A20" s="825"/>
      <c r="B20" s="808"/>
      <c r="C20" s="274" t="s">
        <v>3855</v>
      </c>
      <c r="D20" s="845"/>
      <c r="E20" s="840"/>
      <c r="F20" s="840"/>
      <c r="G20" s="840"/>
      <c r="H20" s="1111"/>
      <c r="I20" s="1106"/>
    </row>
    <row r="21" spans="1:9" ht="15.75">
      <c r="A21" s="825"/>
      <c r="B21" s="808"/>
      <c r="C21" s="274" t="s">
        <v>4641</v>
      </c>
      <c r="D21" s="845">
        <v>7000000</v>
      </c>
      <c r="E21" s="840">
        <v>3650000</v>
      </c>
      <c r="F21" s="840">
        <v>3350000</v>
      </c>
      <c r="G21" s="840"/>
      <c r="H21" s="1112">
        <f>SUM(D21:G21)</f>
        <v>14000000</v>
      </c>
      <c r="I21" s="1106"/>
    </row>
    <row r="22" spans="1:9" ht="31.5">
      <c r="A22" s="825"/>
      <c r="B22" s="808"/>
      <c r="C22" s="818" t="s">
        <v>4707</v>
      </c>
      <c r="D22" s="836">
        <f>D24</f>
        <v>3000000</v>
      </c>
      <c r="E22" s="836">
        <f t="shared" ref="E22:F22" si="1">E24</f>
        <v>7000000</v>
      </c>
      <c r="F22" s="836">
        <f t="shared" si="1"/>
        <v>0</v>
      </c>
      <c r="G22" s="837">
        <f>SUM(G24:G24)</f>
        <v>0</v>
      </c>
      <c r="H22" s="1110">
        <f>SUM(D22:G22)</f>
        <v>10000000</v>
      </c>
      <c r="I22" s="1106"/>
    </row>
    <row r="23" spans="1:9" ht="15.75">
      <c r="A23" s="825"/>
      <c r="B23" s="808"/>
      <c r="C23" s="274" t="s">
        <v>3855</v>
      </c>
      <c r="D23" s="845"/>
      <c r="E23" s="840"/>
      <c r="F23" s="840"/>
      <c r="G23" s="840"/>
      <c r="H23" s="1111"/>
      <c r="I23" s="1106"/>
    </row>
    <row r="24" spans="1:9" ht="15.75">
      <c r="A24" s="825"/>
      <c r="B24" s="808"/>
      <c r="C24" s="274" t="s">
        <v>4641</v>
      </c>
      <c r="D24" s="845">
        <v>3000000</v>
      </c>
      <c r="E24" s="840">
        <v>7000000</v>
      </c>
      <c r="F24" s="840">
        <v>0</v>
      </c>
      <c r="G24" s="840"/>
      <c r="H24" s="1112">
        <f>SUM(D24:G24)</f>
        <v>10000000</v>
      </c>
      <c r="I24" s="1106"/>
    </row>
    <row r="25" spans="1:9" ht="47.25">
      <c r="A25" s="826">
        <v>511</v>
      </c>
      <c r="B25" s="817">
        <v>4</v>
      </c>
      <c r="C25" s="818" t="s">
        <v>4622</v>
      </c>
      <c r="D25" s="836">
        <f>D27</f>
        <v>1800000</v>
      </c>
      <c r="E25" s="837">
        <f>SUM(E27:E27)</f>
        <v>2400000</v>
      </c>
      <c r="F25" s="837">
        <f>SUM(F27:F27)</f>
        <v>0</v>
      </c>
      <c r="G25" s="837">
        <f>SUM(G27:G27)</f>
        <v>0</v>
      </c>
      <c r="H25" s="1110">
        <f>SUM(D25:G25)</f>
        <v>4200000</v>
      </c>
      <c r="I25" s="1106"/>
    </row>
    <row r="26" spans="1:9" ht="15.75">
      <c r="A26" s="825"/>
      <c r="B26" s="808"/>
      <c r="C26" s="274" t="s">
        <v>3855</v>
      </c>
      <c r="D26" s="845"/>
      <c r="E26" s="840"/>
      <c r="F26" s="840"/>
      <c r="G26" s="840"/>
      <c r="H26" s="205"/>
      <c r="I26" s="1106"/>
    </row>
    <row r="27" spans="1:9" ht="15.75">
      <c r="A27" s="825"/>
      <c r="B27" s="808"/>
      <c r="C27" s="274" t="s">
        <v>4641</v>
      </c>
      <c r="D27" s="845">
        <v>1800000</v>
      </c>
      <c r="E27" s="840">
        <v>2400000</v>
      </c>
      <c r="F27" s="840">
        <v>0</v>
      </c>
      <c r="G27" s="840">
        <v>0</v>
      </c>
      <c r="H27" s="820">
        <f>SUM(D27:G27)</f>
        <v>4200000</v>
      </c>
      <c r="I27" s="1106"/>
    </row>
    <row r="28" spans="1:9" ht="15.75">
      <c r="A28" s="826">
        <v>511</v>
      </c>
      <c r="B28" s="817">
        <v>5</v>
      </c>
      <c r="C28" s="819" t="s">
        <v>4618</v>
      </c>
      <c r="D28" s="836"/>
      <c r="E28" s="837">
        <f>SUM(E30:E30)</f>
        <v>4500000</v>
      </c>
      <c r="F28" s="837">
        <f>SUM(F30:F30)</f>
        <v>8000000</v>
      </c>
      <c r="G28" s="837">
        <f>SUM(G30:G30)</f>
        <v>0</v>
      </c>
      <c r="H28" s="838">
        <f>SUM(D28:G28)</f>
        <v>12500000</v>
      </c>
      <c r="I28" s="1106"/>
    </row>
    <row r="29" spans="1:9" ht="15.75">
      <c r="A29" s="825"/>
      <c r="B29" s="808"/>
      <c r="C29" s="274" t="s">
        <v>3855</v>
      </c>
      <c r="D29" s="845"/>
      <c r="E29" s="840"/>
      <c r="F29" s="840"/>
      <c r="G29" s="840"/>
      <c r="H29" s="205"/>
      <c r="I29" s="1106"/>
    </row>
    <row r="30" spans="1:9" ht="15.75">
      <c r="A30" s="825"/>
      <c r="B30" s="808"/>
      <c r="C30" s="274" t="s">
        <v>4641</v>
      </c>
      <c r="D30" s="845"/>
      <c r="E30" s="840">
        <v>4500000</v>
      </c>
      <c r="F30" s="840">
        <v>8000000</v>
      </c>
      <c r="G30" s="840"/>
      <c r="H30" s="820">
        <f>SUM(D30:G30)</f>
        <v>12500000</v>
      </c>
      <c r="I30" s="1106"/>
    </row>
    <row r="31" spans="1:9" ht="15.75">
      <c r="A31" s="826">
        <v>511</v>
      </c>
      <c r="B31" s="817">
        <v>6</v>
      </c>
      <c r="C31" s="819" t="s">
        <v>4620</v>
      </c>
      <c r="D31" s="836"/>
      <c r="E31" s="837">
        <f>SUM(E33:E33)</f>
        <v>7500000</v>
      </c>
      <c r="F31" s="837">
        <f>SUM(F33:F33)</f>
        <v>0</v>
      </c>
      <c r="G31" s="837">
        <f>SUM(G33:G33)</f>
        <v>0</v>
      </c>
      <c r="H31" s="844">
        <f>SUM(E31:G31)</f>
        <v>7500000</v>
      </c>
      <c r="I31" s="1106"/>
    </row>
    <row r="32" spans="1:9" ht="15.75">
      <c r="A32" s="825"/>
      <c r="B32" s="808"/>
      <c r="C32" s="274" t="s">
        <v>3855</v>
      </c>
      <c r="D32" s="845"/>
      <c r="E32" s="840"/>
      <c r="F32" s="840"/>
      <c r="G32" s="840"/>
      <c r="H32" s="205"/>
      <c r="I32" s="1106"/>
    </row>
    <row r="33" spans="1:9" ht="15.75">
      <c r="A33" s="825"/>
      <c r="B33" s="808"/>
      <c r="C33" s="274" t="s">
        <v>4611</v>
      </c>
      <c r="D33" s="845"/>
      <c r="E33" s="840">
        <v>7500000</v>
      </c>
      <c r="F33" s="840"/>
      <c r="G33" s="840"/>
      <c r="H33" s="820">
        <f>SUM(D33:G33)</f>
        <v>7500000</v>
      </c>
      <c r="I33" s="1106"/>
    </row>
    <row r="34" spans="1:9" ht="31.5">
      <c r="A34" s="826">
        <v>511</v>
      </c>
      <c r="B34" s="817">
        <v>7</v>
      </c>
      <c r="C34" s="818" t="s">
        <v>4621</v>
      </c>
      <c r="D34" s="836"/>
      <c r="E34" s="837">
        <f>SUM(E36:E36)</f>
        <v>3150000</v>
      </c>
      <c r="F34" s="837">
        <f>SUM(F36:F36)</f>
        <v>0</v>
      </c>
      <c r="G34" s="837">
        <f>SUM(G36:G36)</f>
        <v>0</v>
      </c>
      <c r="H34" s="838">
        <f>SUM(D34:G34)</f>
        <v>3150000</v>
      </c>
      <c r="I34" s="1106"/>
    </row>
    <row r="35" spans="1:9" ht="15.75">
      <c r="A35" s="825"/>
      <c r="B35" s="808"/>
      <c r="C35" s="274" t="s">
        <v>3855</v>
      </c>
      <c r="D35" s="845"/>
      <c r="E35" s="840"/>
      <c r="F35" s="840"/>
      <c r="G35" s="840"/>
      <c r="H35" s="205"/>
      <c r="I35" s="1106"/>
    </row>
    <row r="36" spans="1:9" ht="15.75">
      <c r="A36" s="825"/>
      <c r="B36" s="808"/>
      <c r="C36" s="274" t="s">
        <v>4611</v>
      </c>
      <c r="D36" s="845"/>
      <c r="E36" s="840">
        <v>3150000</v>
      </c>
      <c r="F36" s="840"/>
      <c r="G36" s="840"/>
      <c r="H36" s="820">
        <f>SUM(D36:G36)</f>
        <v>3150000</v>
      </c>
      <c r="I36" s="1106"/>
    </row>
    <row r="37" spans="1:9" ht="47.25">
      <c r="A37" s="826">
        <v>511</v>
      </c>
      <c r="B37" s="817">
        <v>8</v>
      </c>
      <c r="C37" s="818" t="s">
        <v>4623</v>
      </c>
      <c r="D37" s="836"/>
      <c r="E37" s="837">
        <f>SUM(E39:E39)</f>
        <v>6000000</v>
      </c>
      <c r="F37" s="837">
        <f>SUM(F39:F39)</f>
        <v>0</v>
      </c>
      <c r="G37" s="837">
        <f>SUM(G39:G39)</f>
        <v>0</v>
      </c>
      <c r="H37" s="838">
        <f>SUM(D37:G37)</f>
        <v>6000000</v>
      </c>
      <c r="I37" s="1106"/>
    </row>
    <row r="38" spans="1:9" ht="15.75">
      <c r="A38" s="825"/>
      <c r="B38" s="808"/>
      <c r="C38" s="274" t="s">
        <v>3855</v>
      </c>
      <c r="D38" s="845"/>
      <c r="E38" s="840"/>
      <c r="F38" s="841"/>
      <c r="G38" s="841"/>
      <c r="H38" s="205"/>
      <c r="I38" s="1106"/>
    </row>
    <row r="39" spans="1:9" ht="15.75">
      <c r="A39" s="825"/>
      <c r="B39" s="808"/>
      <c r="C39" s="274" t="s">
        <v>4641</v>
      </c>
      <c r="D39" s="845"/>
      <c r="E39" s="840">
        <v>6000000</v>
      </c>
      <c r="F39" s="841"/>
      <c r="G39" s="841"/>
      <c r="H39" s="820">
        <f>SUM(D39:G39)</f>
        <v>6000000</v>
      </c>
      <c r="I39" s="1106"/>
    </row>
    <row r="40" spans="1:9" ht="48" customHeight="1">
      <c r="A40" s="826">
        <v>511</v>
      </c>
      <c r="B40" s="817">
        <v>9</v>
      </c>
      <c r="C40" s="818" t="s">
        <v>4624</v>
      </c>
      <c r="D40" s="837">
        <f>SUM(D42:D44)</f>
        <v>22300000</v>
      </c>
      <c r="E40" s="837">
        <v>7550000</v>
      </c>
      <c r="F40" s="837">
        <f>SUM(F42:F44)</f>
        <v>0</v>
      </c>
      <c r="G40" s="837">
        <f>SUM(G42:G44)</f>
        <v>0</v>
      </c>
      <c r="H40" s="844">
        <f>SUM(D40:G40)</f>
        <v>29850000</v>
      </c>
      <c r="I40" s="1106"/>
    </row>
    <row r="41" spans="1:9" ht="15.75">
      <c r="A41" s="825"/>
      <c r="B41" s="808"/>
      <c r="C41" s="274" t="s">
        <v>3855</v>
      </c>
      <c r="D41" s="845"/>
      <c r="E41" s="840"/>
      <c r="F41" s="840"/>
      <c r="G41" s="840"/>
      <c r="H41" s="205"/>
      <c r="I41" s="1106"/>
    </row>
    <row r="42" spans="1:9" ht="15.75">
      <c r="A42" s="825"/>
      <c r="B42" s="808"/>
      <c r="C42" s="274" t="s">
        <v>4641</v>
      </c>
      <c r="D42" s="845">
        <v>13800000</v>
      </c>
      <c r="E42" s="840"/>
      <c r="F42" s="840"/>
      <c r="G42" s="840"/>
      <c r="H42" s="820">
        <f>SUM(D42:G42)</f>
        <v>13800000</v>
      </c>
      <c r="I42" s="1106"/>
    </row>
    <row r="43" spans="1:9" ht="15.75">
      <c r="A43" s="825"/>
      <c r="B43" s="808"/>
      <c r="C43" s="274" t="s">
        <v>3857</v>
      </c>
      <c r="D43" s="845">
        <v>8500000</v>
      </c>
      <c r="E43" s="840">
        <v>5500000</v>
      </c>
      <c r="F43" s="840"/>
      <c r="G43" s="840"/>
      <c r="H43" s="820">
        <f>SUM(D43:G43)</f>
        <v>14000000</v>
      </c>
      <c r="I43" s="1106"/>
    </row>
    <row r="44" spans="1:9" ht="15.75">
      <c r="A44" s="825"/>
      <c r="B44" s="808"/>
      <c r="C44" s="275" t="s">
        <v>4611</v>
      </c>
      <c r="D44" s="814"/>
      <c r="E44" s="840">
        <v>2050000</v>
      </c>
      <c r="F44" s="840"/>
      <c r="G44" s="840"/>
      <c r="H44" s="820">
        <f>SUM(D44:G44)</f>
        <v>2050000</v>
      </c>
      <c r="I44" s="1106"/>
    </row>
    <row r="45" spans="1:9" ht="31.5">
      <c r="A45" s="826">
        <v>511</v>
      </c>
      <c r="B45" s="817">
        <v>10</v>
      </c>
      <c r="C45" s="818" t="s">
        <v>4625</v>
      </c>
      <c r="D45" s="836"/>
      <c r="E45" s="837">
        <f>E47</f>
        <v>2500000</v>
      </c>
      <c r="F45" s="837">
        <f t="shared" ref="F45:H45" si="2">F47</f>
        <v>0</v>
      </c>
      <c r="G45" s="837">
        <f t="shared" si="2"/>
        <v>0</v>
      </c>
      <c r="H45" s="837">
        <f t="shared" si="2"/>
        <v>2500000</v>
      </c>
      <c r="I45" s="1106"/>
    </row>
    <row r="46" spans="1:9" ht="15.75">
      <c r="A46" s="825"/>
      <c r="B46" s="808"/>
      <c r="C46" s="274" t="s">
        <v>3855</v>
      </c>
      <c r="D46" s="845"/>
      <c r="E46" s="840"/>
      <c r="F46" s="840"/>
      <c r="G46" s="840"/>
      <c r="H46" s="1111"/>
      <c r="I46" s="1106"/>
    </row>
    <row r="47" spans="1:9" ht="15.75">
      <c r="A47" s="825"/>
      <c r="B47" s="808"/>
      <c r="C47" s="274" t="s">
        <v>4611</v>
      </c>
      <c r="D47" s="845"/>
      <c r="E47" s="840">
        <v>2500000</v>
      </c>
      <c r="F47" s="840"/>
      <c r="G47" s="840"/>
      <c r="H47" s="1114">
        <f>SUM(E47:G47)</f>
        <v>2500000</v>
      </c>
      <c r="I47" s="1106"/>
    </row>
    <row r="48" spans="1:9" ht="31.5">
      <c r="A48" s="826">
        <v>511</v>
      </c>
      <c r="B48" s="817">
        <v>11</v>
      </c>
      <c r="C48" s="818" t="s">
        <v>4708</v>
      </c>
      <c r="D48" s="836"/>
      <c r="E48" s="837">
        <f>SUM(E50:E51)</f>
        <v>22000000</v>
      </c>
      <c r="F48" s="837">
        <f>SUM(F51:F51)</f>
        <v>0</v>
      </c>
      <c r="G48" s="837">
        <f>SUM(G51:G51)</f>
        <v>0</v>
      </c>
      <c r="H48" s="844">
        <f>SUM(E48:G48)</f>
        <v>22000000</v>
      </c>
      <c r="I48" s="1106"/>
    </row>
    <row r="49" spans="1:9" ht="15.75">
      <c r="A49" s="825"/>
      <c r="B49" s="808"/>
      <c r="C49" s="274" t="s">
        <v>3855</v>
      </c>
      <c r="D49" s="845"/>
      <c r="E49" s="840"/>
      <c r="F49" s="840"/>
      <c r="G49" s="840"/>
      <c r="H49" s="205"/>
      <c r="I49" s="1106"/>
    </row>
    <row r="50" spans="1:9" ht="15.75">
      <c r="A50" s="1133"/>
      <c r="B50" s="1134"/>
      <c r="C50" s="274" t="s">
        <v>3856</v>
      </c>
      <c r="D50" s="1135"/>
      <c r="E50" s="1136">
        <v>12000000</v>
      </c>
      <c r="F50" s="1136"/>
      <c r="G50" s="1136"/>
      <c r="H50" s="1137">
        <f>SUM(E50:G50)</f>
        <v>12000000</v>
      </c>
      <c r="I50" s="1106"/>
    </row>
    <row r="51" spans="1:9" ht="15.75">
      <c r="A51" s="825"/>
      <c r="B51" s="808"/>
      <c r="C51" s="274" t="s">
        <v>4611</v>
      </c>
      <c r="D51" s="845"/>
      <c r="E51" s="840">
        <v>10000000</v>
      </c>
      <c r="F51" s="840">
        <v>0</v>
      </c>
      <c r="G51" s="840">
        <v>0</v>
      </c>
      <c r="H51" s="820">
        <f>SUM(D51:G51)</f>
        <v>10000000</v>
      </c>
      <c r="I51" s="1106"/>
    </row>
    <row r="52" spans="1:9" ht="31.5">
      <c r="A52" s="826">
        <v>511</v>
      </c>
      <c r="B52" s="817">
        <v>12</v>
      </c>
      <c r="C52" s="818" t="s">
        <v>4626</v>
      </c>
      <c r="D52" s="836"/>
      <c r="E52" s="837">
        <f>SUM(E54:E54)</f>
        <v>17100000</v>
      </c>
      <c r="F52" s="837">
        <f t="shared" ref="F52:H52" si="3">SUM(F54:F54)</f>
        <v>0</v>
      </c>
      <c r="G52" s="837">
        <f t="shared" si="3"/>
        <v>0</v>
      </c>
      <c r="H52" s="837">
        <f t="shared" si="3"/>
        <v>17100000</v>
      </c>
      <c r="I52" s="1106"/>
    </row>
    <row r="53" spans="1:9" ht="15.75">
      <c r="A53" s="825"/>
      <c r="B53" s="808"/>
      <c r="C53" s="274" t="s">
        <v>3855</v>
      </c>
      <c r="D53" s="845"/>
      <c r="E53" s="840"/>
      <c r="F53" s="841"/>
      <c r="G53" s="841"/>
      <c r="H53" s="205"/>
      <c r="I53" s="1106"/>
    </row>
    <row r="54" spans="1:9" ht="15.75">
      <c r="A54" s="825"/>
      <c r="B54" s="808"/>
      <c r="C54" s="274" t="s">
        <v>4641</v>
      </c>
      <c r="D54" s="845"/>
      <c r="E54" s="840">
        <v>17100000</v>
      </c>
      <c r="F54" s="841"/>
      <c r="G54" s="841"/>
      <c r="H54" s="820">
        <f>SUM(D54:G54)</f>
        <v>17100000</v>
      </c>
      <c r="I54" s="1106"/>
    </row>
    <row r="55" spans="1:9" ht="31.5">
      <c r="A55" s="826">
        <v>511</v>
      </c>
      <c r="B55" s="817">
        <v>13</v>
      </c>
      <c r="C55" s="818" t="s">
        <v>4627</v>
      </c>
      <c r="D55" s="837">
        <f>SUM(D57:D59)</f>
        <v>12100000</v>
      </c>
      <c r="E55" s="837">
        <f>SUM(E57:E59)</f>
        <v>18100000</v>
      </c>
      <c r="F55" s="837"/>
      <c r="G55" s="837">
        <f>SUM(G57:G84)</f>
        <v>0</v>
      </c>
      <c r="H55" s="844">
        <f>SUM(D55:G55)</f>
        <v>30200000</v>
      </c>
      <c r="I55" s="1106"/>
    </row>
    <row r="56" spans="1:9" ht="15.75">
      <c r="A56" s="825"/>
      <c r="B56" s="808"/>
      <c r="C56" s="274" t="s">
        <v>3855</v>
      </c>
      <c r="D56" s="845"/>
      <c r="E56" s="840"/>
      <c r="F56" s="840"/>
      <c r="G56" s="840"/>
      <c r="H56" s="205"/>
      <c r="I56" s="1106"/>
    </row>
    <row r="57" spans="1:9" ht="15.75">
      <c r="A57" s="825"/>
      <c r="B57" s="808"/>
      <c r="C57" s="274" t="s">
        <v>4641</v>
      </c>
      <c r="D57" s="845">
        <v>4300000</v>
      </c>
      <c r="E57" s="840"/>
      <c r="F57" s="840"/>
      <c r="G57" s="840"/>
      <c r="H57" s="820">
        <f>SUM(D57:G57)</f>
        <v>4300000</v>
      </c>
      <c r="I57" s="1106"/>
    </row>
    <row r="58" spans="1:9" ht="15.75">
      <c r="A58" s="825"/>
      <c r="B58" s="808"/>
      <c r="C58" s="274" t="s">
        <v>3857</v>
      </c>
      <c r="D58" s="845">
        <v>7800000</v>
      </c>
      <c r="E58" s="840">
        <v>1700000</v>
      </c>
      <c r="F58" s="840"/>
      <c r="G58" s="840"/>
      <c r="H58" s="820">
        <f>SUM(D58:G58)</f>
        <v>9500000</v>
      </c>
      <c r="I58" s="1106"/>
    </row>
    <row r="59" spans="1:9" ht="15.75">
      <c r="A59" s="825"/>
      <c r="B59" s="808"/>
      <c r="C59" s="274" t="s">
        <v>4611</v>
      </c>
      <c r="D59" s="845"/>
      <c r="E59" s="840">
        <v>16400000</v>
      </c>
      <c r="F59" s="840"/>
      <c r="G59" s="840"/>
      <c r="H59" s="820">
        <f>SUM(D59:G59)</f>
        <v>16400000</v>
      </c>
      <c r="I59" s="1106"/>
    </row>
    <row r="60" spans="1:9" ht="47.25">
      <c r="A60" s="826">
        <v>511</v>
      </c>
      <c r="B60" s="817">
        <v>14</v>
      </c>
      <c r="C60" s="818" t="s">
        <v>4329</v>
      </c>
      <c r="D60" s="837">
        <f>SUM(D61:D63)</f>
        <v>0</v>
      </c>
      <c r="E60" s="837">
        <f>E62+E63</f>
        <v>119500000</v>
      </c>
      <c r="F60" s="837">
        <v>0</v>
      </c>
      <c r="G60" s="837">
        <f>SUM(G63:G89)</f>
        <v>0</v>
      </c>
      <c r="H60" s="1115">
        <f>SUM(D60:G60)</f>
        <v>119500000</v>
      </c>
      <c r="I60" s="1106"/>
    </row>
    <row r="61" spans="1:9" ht="15.75">
      <c r="A61" s="825"/>
      <c r="B61" s="808"/>
      <c r="C61" s="274" t="s">
        <v>3855</v>
      </c>
      <c r="D61" s="845"/>
      <c r="E61" s="840"/>
      <c r="F61" s="840"/>
      <c r="G61" s="840"/>
      <c r="H61" s="205"/>
      <c r="I61" s="1106"/>
    </row>
    <row r="62" spans="1:9" ht="15.75">
      <c r="A62" s="825"/>
      <c r="B62" s="808"/>
      <c r="C62" s="274" t="s">
        <v>4641</v>
      </c>
      <c r="D62" s="845"/>
      <c r="E62" s="840">
        <v>2300000</v>
      </c>
      <c r="F62" s="840"/>
      <c r="G62" s="840"/>
      <c r="H62" s="821">
        <f>SUM(E62:G62)</f>
        <v>2300000</v>
      </c>
      <c r="I62" s="1106"/>
    </row>
    <row r="63" spans="1:9" ht="15.75">
      <c r="A63" s="825"/>
      <c r="B63" s="808"/>
      <c r="C63" s="274" t="s">
        <v>3857</v>
      </c>
      <c r="D63" s="845"/>
      <c r="E63" s="840">
        <v>117200000</v>
      </c>
      <c r="F63" s="840"/>
      <c r="G63" s="840"/>
      <c r="H63" s="820">
        <f>SUM(D63:G63)</f>
        <v>117200000</v>
      </c>
      <c r="I63" s="1106"/>
    </row>
    <row r="64" spans="1:9" ht="47.25">
      <c r="A64" s="826">
        <v>511</v>
      </c>
      <c r="B64" s="817">
        <v>15</v>
      </c>
      <c r="C64" s="818" t="s">
        <v>4628</v>
      </c>
      <c r="D64" s="837">
        <f>SUM(D65:D67)</f>
        <v>0</v>
      </c>
      <c r="E64" s="837">
        <f>SUM(E66:E67)</f>
        <v>22200000</v>
      </c>
      <c r="F64" s="837"/>
      <c r="G64" s="837">
        <f>SUM(G66:G92)</f>
        <v>0</v>
      </c>
      <c r="H64" s="844">
        <f>SUM(D64:G64)</f>
        <v>22200000</v>
      </c>
      <c r="I64" s="1106"/>
    </row>
    <row r="65" spans="1:9" ht="15.75">
      <c r="A65" s="825"/>
      <c r="B65" s="808"/>
      <c r="C65" s="274" t="s">
        <v>3855</v>
      </c>
      <c r="D65" s="845"/>
      <c r="E65" s="840"/>
      <c r="F65" s="840"/>
      <c r="G65" s="840"/>
      <c r="H65" s="205"/>
      <c r="I65" s="1106"/>
    </row>
    <row r="66" spans="1:9" ht="15.75">
      <c r="A66" s="825"/>
      <c r="B66" s="808"/>
      <c r="C66" s="274" t="s">
        <v>4641</v>
      </c>
      <c r="D66" s="845"/>
      <c r="E66" s="840">
        <v>5200000</v>
      </c>
      <c r="F66" s="840"/>
      <c r="G66" s="840"/>
      <c r="H66" s="820">
        <f>SUM(D66:G66)</f>
        <v>5200000</v>
      </c>
      <c r="I66" s="1106"/>
    </row>
    <row r="67" spans="1:9" ht="15.75">
      <c r="A67" s="825"/>
      <c r="B67" s="808"/>
      <c r="C67" s="274" t="s">
        <v>3857</v>
      </c>
      <c r="D67" s="845"/>
      <c r="E67" s="840">
        <v>17000000</v>
      </c>
      <c r="F67" s="840"/>
      <c r="G67" s="840"/>
      <c r="H67" s="821">
        <f>SUM(E67:G67)</f>
        <v>17000000</v>
      </c>
      <c r="I67" s="1106"/>
    </row>
    <row r="68" spans="1:9" ht="31.5">
      <c r="A68" s="826">
        <v>511</v>
      </c>
      <c r="B68" s="817">
        <v>16</v>
      </c>
      <c r="C68" s="818" t="s">
        <v>4629</v>
      </c>
      <c r="D68" s="837">
        <f>SUM(D69:D70)</f>
        <v>0</v>
      </c>
      <c r="E68" s="837">
        <f>SUM(E70:E70)</f>
        <v>7000000</v>
      </c>
      <c r="F68" s="837"/>
      <c r="G68" s="837">
        <f>SUM(G70:G92)</f>
        <v>0</v>
      </c>
      <c r="H68" s="844">
        <f>SUM(D68:G68)</f>
        <v>7000000</v>
      </c>
      <c r="I68" s="1106"/>
    </row>
    <row r="69" spans="1:9" ht="15.75">
      <c r="A69" s="825"/>
      <c r="B69" s="808"/>
      <c r="C69" s="274" t="s">
        <v>3855</v>
      </c>
      <c r="D69" s="845"/>
      <c r="E69" s="840"/>
      <c r="F69" s="840"/>
      <c r="G69" s="840"/>
      <c r="H69" s="205"/>
      <c r="I69" s="1106"/>
    </row>
    <row r="70" spans="1:9" ht="15.75">
      <c r="A70" s="825"/>
      <c r="B70" s="808"/>
      <c r="C70" s="274" t="s">
        <v>4641</v>
      </c>
      <c r="D70" s="845"/>
      <c r="E70" s="840">
        <v>7000000</v>
      </c>
      <c r="F70" s="840"/>
      <c r="G70" s="840"/>
      <c r="H70" s="820">
        <f>SUM(D70:G70)</f>
        <v>7000000</v>
      </c>
      <c r="I70" s="1106"/>
    </row>
    <row r="71" spans="1:9" ht="31.5">
      <c r="A71" s="825"/>
      <c r="B71" s="808"/>
      <c r="C71" s="818" t="s">
        <v>4709</v>
      </c>
      <c r="D71" s="837">
        <f>SUM(D72:D74)</f>
        <v>0</v>
      </c>
      <c r="E71" s="837">
        <f>E73+E74</f>
        <v>6900000</v>
      </c>
      <c r="F71" s="837">
        <f t="shared" ref="F71:G71" si="4">F73+F74</f>
        <v>0</v>
      </c>
      <c r="G71" s="837">
        <f t="shared" si="4"/>
        <v>0</v>
      </c>
      <c r="H71" s="844">
        <f>SUM(D71:G71)</f>
        <v>6900000</v>
      </c>
      <c r="I71" s="1106"/>
    </row>
    <row r="72" spans="1:9" ht="15.75">
      <c r="A72" s="825"/>
      <c r="B72" s="808"/>
      <c r="C72" s="274" t="s">
        <v>3855</v>
      </c>
      <c r="D72" s="845"/>
      <c r="E72" s="840"/>
      <c r="F72" s="840"/>
      <c r="G72" s="840"/>
      <c r="H72" s="205"/>
      <c r="I72" s="1106"/>
    </row>
    <row r="73" spans="1:9" ht="15.75">
      <c r="A73" s="825"/>
      <c r="B73" s="808"/>
      <c r="C73" s="274" t="s">
        <v>3857</v>
      </c>
      <c r="D73" s="845"/>
      <c r="E73" s="840">
        <v>5100000</v>
      </c>
      <c r="F73" s="840"/>
      <c r="G73" s="840"/>
      <c r="H73" s="821">
        <f>SUM(E73:G73)</f>
        <v>5100000</v>
      </c>
      <c r="I73" s="1106"/>
    </row>
    <row r="74" spans="1:9" ht="15.75">
      <c r="A74" s="825"/>
      <c r="B74" s="808"/>
      <c r="C74" s="274" t="s">
        <v>4641</v>
      </c>
      <c r="D74" s="845"/>
      <c r="E74" s="840">
        <v>1800000</v>
      </c>
      <c r="F74" s="840"/>
      <c r="G74" s="840"/>
      <c r="H74" s="820">
        <f>SUM(D74:G74)</f>
        <v>1800000</v>
      </c>
      <c r="I74" s="1106"/>
    </row>
    <row r="75" spans="1:9" ht="47.25">
      <c r="A75" s="826">
        <v>511</v>
      </c>
      <c r="B75" s="817">
        <v>17</v>
      </c>
      <c r="C75" s="818" t="s">
        <v>4630</v>
      </c>
      <c r="D75" s="837">
        <f>SUM(D76:D77)</f>
        <v>0</v>
      </c>
      <c r="E75" s="837">
        <f>SUM(E77:E77)</f>
        <v>4000000</v>
      </c>
      <c r="F75" s="837">
        <f>SUM(F77:F92)</f>
        <v>1000000</v>
      </c>
      <c r="G75" s="837">
        <f>SUM(G77:G92)</f>
        <v>0</v>
      </c>
      <c r="H75" s="844">
        <f>SUM(D75:G75)</f>
        <v>5000000</v>
      </c>
      <c r="I75" s="1106"/>
    </row>
    <row r="76" spans="1:9" ht="15.75">
      <c r="A76" s="825"/>
      <c r="B76" s="808"/>
      <c r="C76" s="274" t="s">
        <v>3855</v>
      </c>
      <c r="D76" s="845"/>
      <c r="E76" s="840"/>
      <c r="F76" s="840"/>
      <c r="G76" s="840"/>
      <c r="H76" s="205"/>
      <c r="I76" s="1106"/>
    </row>
    <row r="77" spans="1:9" ht="15.75">
      <c r="A77" s="825"/>
      <c r="B77" s="808"/>
      <c r="C77" s="274" t="s">
        <v>3856</v>
      </c>
      <c r="D77" s="845"/>
      <c r="E77" s="840">
        <v>4000000</v>
      </c>
      <c r="F77" s="840">
        <v>1000000</v>
      </c>
      <c r="G77" s="840"/>
      <c r="H77" s="820">
        <f>SUM(D77:G77)</f>
        <v>5000000</v>
      </c>
      <c r="I77" s="1106"/>
    </row>
    <row r="78" spans="1:9" ht="47.25">
      <c r="A78" s="825"/>
      <c r="B78" s="808"/>
      <c r="C78" s="818" t="s">
        <v>4710</v>
      </c>
      <c r="D78" s="837">
        <v>0</v>
      </c>
      <c r="E78" s="837">
        <f>SUM(E80:E81)</f>
        <v>27000000</v>
      </c>
      <c r="F78" s="837">
        <f>SUM(F80:F88)</f>
        <v>0</v>
      </c>
      <c r="G78" s="837">
        <f>SUM(G80:G88)</f>
        <v>0</v>
      </c>
      <c r="H78" s="844">
        <f>SUM(D78:G78)</f>
        <v>27000000</v>
      </c>
      <c r="I78" s="1106"/>
    </row>
    <row r="79" spans="1:9" ht="15.75">
      <c r="A79" s="825"/>
      <c r="B79" s="808"/>
      <c r="C79" s="274" t="s">
        <v>3855</v>
      </c>
      <c r="D79" s="845"/>
      <c r="E79" s="840"/>
      <c r="F79" s="840"/>
      <c r="G79" s="840"/>
      <c r="H79" s="205"/>
      <c r="I79" s="1106"/>
    </row>
    <row r="80" spans="1:9" ht="15.75">
      <c r="A80" s="825"/>
      <c r="B80" s="808"/>
      <c r="C80" s="274" t="s">
        <v>4711</v>
      </c>
      <c r="D80" s="845">
        <v>0</v>
      </c>
      <c r="E80" s="840">
        <v>22900000</v>
      </c>
      <c r="F80" s="840"/>
      <c r="G80" s="840"/>
      <c r="H80" s="820">
        <f>SUM(D80:G80)</f>
        <v>22900000</v>
      </c>
      <c r="I80" s="1106"/>
    </row>
    <row r="81" spans="1:9" ht="15.75">
      <c r="A81" s="825"/>
      <c r="B81" s="808"/>
      <c r="C81" s="274" t="s">
        <v>4712</v>
      </c>
      <c r="D81" s="845"/>
      <c r="E81" s="840">
        <v>4100000</v>
      </c>
      <c r="F81" s="840"/>
      <c r="G81" s="840"/>
      <c r="H81" s="820">
        <f>SUM(D81:G81)</f>
        <v>4100000</v>
      </c>
      <c r="I81" s="1106"/>
    </row>
    <row r="82" spans="1:9" ht="63">
      <c r="A82" s="826">
        <v>511</v>
      </c>
      <c r="B82" s="817">
        <v>18</v>
      </c>
      <c r="C82" s="818" t="s">
        <v>4631</v>
      </c>
      <c r="D82" s="837">
        <f>SUM(D84:D92)</f>
        <v>5000000</v>
      </c>
      <c r="E82" s="837">
        <f>SUM(E84:E84)</f>
        <v>12000000</v>
      </c>
      <c r="F82" s="837">
        <f>SUM(F84:F92)</f>
        <v>0</v>
      </c>
      <c r="G82" s="837">
        <f>SUM(G84:G92)</f>
        <v>0</v>
      </c>
      <c r="H82" s="844">
        <f>SUM(D82:G82)</f>
        <v>17000000</v>
      </c>
      <c r="I82" s="1106"/>
    </row>
    <row r="83" spans="1:9" ht="15.75">
      <c r="A83" s="825"/>
      <c r="B83" s="808"/>
      <c r="C83" s="274" t="s">
        <v>3855</v>
      </c>
      <c r="D83" s="845"/>
      <c r="E83" s="840"/>
      <c r="F83" s="840"/>
      <c r="G83" s="840"/>
      <c r="H83" s="205"/>
      <c r="I83" s="1106"/>
    </row>
    <row r="84" spans="1:9" ht="15.75">
      <c r="A84" s="825"/>
      <c r="B84" s="808"/>
      <c r="C84" s="274" t="s">
        <v>3857</v>
      </c>
      <c r="D84" s="845">
        <v>5000000</v>
      </c>
      <c r="E84" s="840">
        <v>12000000</v>
      </c>
      <c r="F84" s="840"/>
      <c r="G84" s="840"/>
      <c r="H84" s="820">
        <f>SUM(D84:G84)</f>
        <v>17000000</v>
      </c>
      <c r="I84" s="1106"/>
    </row>
    <row r="85" spans="1:9" ht="28.5" customHeight="1">
      <c r="A85" s="827"/>
      <c r="B85" s="811" t="s">
        <v>4612</v>
      </c>
      <c r="C85" s="812" t="s">
        <v>4613</v>
      </c>
      <c r="D85" s="846"/>
      <c r="E85" s="1107">
        <f>E86+E90</f>
        <v>8450000</v>
      </c>
      <c r="F85" s="847"/>
      <c r="G85" s="847"/>
      <c r="H85" s="835">
        <f>SUM(D85:G85)</f>
        <v>8450000</v>
      </c>
    </row>
    <row r="86" spans="1:9" ht="47.25">
      <c r="A86" s="829">
        <v>4512</v>
      </c>
      <c r="B86" s="830">
        <v>1</v>
      </c>
      <c r="C86" s="831" t="s">
        <v>4610</v>
      </c>
      <c r="D86" s="848"/>
      <c r="E86" s="1108">
        <f>E88+E89</f>
        <v>4450000</v>
      </c>
      <c r="F86" s="849"/>
      <c r="G86" s="849"/>
      <c r="H86" s="838">
        <f>SUM(D86:G86)</f>
        <v>4450000</v>
      </c>
    </row>
    <row r="87" spans="1:9" ht="15.75">
      <c r="A87" s="828"/>
      <c r="B87" s="507"/>
      <c r="C87" s="274" t="s">
        <v>3855</v>
      </c>
      <c r="D87" s="845"/>
      <c r="E87" s="1109"/>
      <c r="F87" s="807"/>
      <c r="G87" s="807"/>
      <c r="H87" s="833"/>
    </row>
    <row r="88" spans="1:9" ht="15.75">
      <c r="A88" s="828"/>
      <c r="B88" s="507"/>
      <c r="C88" s="274" t="s">
        <v>4641</v>
      </c>
      <c r="D88" s="845"/>
      <c r="E88" s="1109">
        <v>2450000</v>
      </c>
      <c r="F88" s="807"/>
      <c r="G88" s="807"/>
      <c r="H88" s="833">
        <f t="shared" ref="H88:H92" si="5">SUM(D88:G88)</f>
        <v>2450000</v>
      </c>
    </row>
    <row r="89" spans="1:9">
      <c r="A89" s="828"/>
      <c r="B89" s="507"/>
      <c r="C89" s="275" t="s">
        <v>4611</v>
      </c>
      <c r="D89" s="508"/>
      <c r="E89" s="1109">
        <v>2000000</v>
      </c>
      <c r="F89" s="807"/>
      <c r="G89" s="807"/>
      <c r="H89" s="833">
        <f t="shared" si="5"/>
        <v>2000000</v>
      </c>
    </row>
    <row r="90" spans="1:9" ht="15.75">
      <c r="A90" s="829">
        <v>4512</v>
      </c>
      <c r="B90" s="830">
        <v>2</v>
      </c>
      <c r="C90" s="832" t="s">
        <v>4297</v>
      </c>
      <c r="D90" s="836"/>
      <c r="E90" s="1108">
        <f>'ПО КОРИСНИЦИМА'!H178</f>
        <v>4000000</v>
      </c>
      <c r="F90" s="849"/>
      <c r="G90" s="849"/>
      <c r="H90" s="838">
        <f t="shared" si="5"/>
        <v>4000000</v>
      </c>
      <c r="I90" s="1106"/>
    </row>
    <row r="91" spans="1:9" ht="15.75">
      <c r="A91" s="828"/>
      <c r="B91" s="507"/>
      <c r="C91" s="274" t="s">
        <v>3855</v>
      </c>
      <c r="D91" s="845"/>
      <c r="E91" s="1109"/>
      <c r="F91" s="807"/>
      <c r="G91" s="807"/>
      <c r="H91" s="833"/>
      <c r="I91" s="1106"/>
    </row>
    <row r="92" spans="1:9" ht="15.75">
      <c r="A92" s="828"/>
      <c r="B92" s="507"/>
      <c r="C92" s="274" t="s">
        <v>4641</v>
      </c>
      <c r="D92" s="845"/>
      <c r="E92" s="1109">
        <v>4000000</v>
      </c>
      <c r="F92" s="807"/>
      <c r="G92" s="807"/>
      <c r="H92" s="833">
        <f t="shared" si="5"/>
        <v>4000000</v>
      </c>
      <c r="I92" s="1106"/>
    </row>
  </sheetData>
  <mergeCells count="6">
    <mergeCell ref="H3:H4"/>
    <mergeCell ref="A1:G1"/>
    <mergeCell ref="B3:B4"/>
    <mergeCell ref="C3:C4"/>
    <mergeCell ref="A6:B6"/>
    <mergeCell ref="D3:G3"/>
  </mergeCells>
  <pageMargins left="0.2" right="0.31" top="0.35" bottom="0.37" header="0.3" footer="0.3"/>
  <pageSetup orientation="landscape" r:id="rId1"/>
</worksheet>
</file>

<file path=xl/worksheets/sheet5.xml><?xml version="1.0" encoding="utf-8"?>
<worksheet xmlns="http://schemas.openxmlformats.org/spreadsheetml/2006/main" xmlns:r="http://schemas.openxmlformats.org/officeDocument/2006/relationships">
  <sheetPr>
    <tabColor theme="0"/>
  </sheetPr>
  <dimension ref="A1:F87"/>
  <sheetViews>
    <sheetView zoomScale="120" zoomScaleNormal="120" workbookViewId="0">
      <selection activeCell="B33" sqref="B33"/>
    </sheetView>
  </sheetViews>
  <sheetFormatPr defaultRowHeight="15"/>
  <cols>
    <col min="1" max="1" width="7" style="88" customWidth="1"/>
    <col min="2" max="2" width="32" style="88" customWidth="1"/>
    <col min="3" max="3" width="14.28515625" style="88" customWidth="1"/>
    <col min="4" max="4" width="7.28515625" style="88" customWidth="1"/>
    <col min="5" max="5" width="14" style="88" customWidth="1"/>
    <col min="6" max="6" width="15" style="88" customWidth="1"/>
    <col min="7" max="16384" width="9.140625" style="88"/>
  </cols>
  <sheetData>
    <row r="1" spans="1:6" ht="15" customHeight="1">
      <c r="A1" s="1166" t="s">
        <v>3750</v>
      </c>
      <c r="B1" s="1166"/>
      <c r="C1" s="1166"/>
      <c r="D1" s="1166"/>
      <c r="E1" s="1166"/>
      <c r="F1" s="119"/>
    </row>
    <row r="2" spans="1:6">
      <c r="A2" s="120"/>
      <c r="B2" s="121"/>
      <c r="C2" s="122"/>
      <c r="D2" s="122"/>
      <c r="E2" s="122"/>
      <c r="F2" s="122"/>
    </row>
    <row r="3" spans="1:6" ht="31.5">
      <c r="A3" s="255" t="s">
        <v>3751</v>
      </c>
      <c r="B3" s="255" t="s">
        <v>3752</v>
      </c>
      <c r="C3" s="256" t="s">
        <v>23</v>
      </c>
      <c r="D3" s="256" t="s">
        <v>4608</v>
      </c>
      <c r="E3" s="256" t="s">
        <v>4567</v>
      </c>
      <c r="F3" s="256" t="s">
        <v>4015</v>
      </c>
    </row>
    <row r="4" spans="1:6">
      <c r="A4" s="428" t="s">
        <v>3755</v>
      </c>
      <c r="B4" s="429">
        <v>2</v>
      </c>
      <c r="C4" s="430">
        <v>3</v>
      </c>
      <c r="D4" s="430">
        <v>4</v>
      </c>
      <c r="E4" s="430">
        <v>5</v>
      </c>
      <c r="F4" s="430">
        <v>6</v>
      </c>
    </row>
    <row r="5" spans="1:6">
      <c r="A5" s="431" t="s">
        <v>3908</v>
      </c>
      <c r="B5" s="432" t="s">
        <v>4049</v>
      </c>
      <c r="C5" s="433">
        <f>SUM(C6,C15,C22,C28,C33,C39,C46,C48,C55)</f>
        <v>600900000</v>
      </c>
      <c r="D5" s="434">
        <f t="shared" ref="D5:D36" si="0">IFERROR(C5/$C$86,"-")</f>
        <v>0.73639705882352946</v>
      </c>
      <c r="E5" s="433">
        <f>SUM(E6,E15,E22,E28,E33,E39,E46,E48,E55)</f>
        <v>51000000</v>
      </c>
      <c r="F5" s="433">
        <f>SUM(E5,C5)</f>
        <v>651900000</v>
      </c>
    </row>
    <row r="6" spans="1:6">
      <c r="A6" s="435" t="s">
        <v>3756</v>
      </c>
      <c r="B6" s="436" t="s">
        <v>3757</v>
      </c>
      <c r="C6" s="437">
        <f>SUM(C7:C14)</f>
        <v>130010000</v>
      </c>
      <c r="D6" s="438">
        <f t="shared" si="0"/>
        <v>0.15932598039215687</v>
      </c>
      <c r="E6" s="437">
        <f>SUM(E7:E14)</f>
        <v>3030000</v>
      </c>
      <c r="F6" s="437">
        <f>C6+E6</f>
        <v>133040000</v>
      </c>
    </row>
    <row r="7" spans="1:6">
      <c r="A7" s="439">
        <v>411</v>
      </c>
      <c r="B7" s="440" t="s">
        <v>3758</v>
      </c>
      <c r="C7" s="441">
        <f>SUMIF('ПО КОРИСНИЦИМА'!$F$4:$F$547,'По основ. нам.'!A7,'ПО КОРИСНИЦИМА'!$H$4:$H$547)</f>
        <v>103720000</v>
      </c>
      <c r="D7" s="442">
        <f t="shared" si="0"/>
        <v>0.1271078431372549</v>
      </c>
      <c r="E7" s="441">
        <f>SUMIF('ПО КОРИСНИЦИМА'!$F$4:$F$547,'По основ. нам.'!A7,'ПО КОРИСНИЦИМА'!$I$4:$I$547)</f>
        <v>2500000</v>
      </c>
      <c r="F7" s="441">
        <f>C7+E7</f>
        <v>106220000</v>
      </c>
    </row>
    <row r="8" spans="1:6">
      <c r="A8" s="439">
        <v>412</v>
      </c>
      <c r="B8" s="440" t="s">
        <v>3759</v>
      </c>
      <c r="C8" s="441">
        <f>SUMIF('ПО КОРИСНИЦИМА'!$F$4:$F$547,'По основ. нам.'!A8,'ПО КОРИСНИЦИМА'!$H$4:$H$547)</f>
        <v>18660000</v>
      </c>
      <c r="D8" s="442">
        <f t="shared" si="0"/>
        <v>2.2867647058823531E-2</v>
      </c>
      <c r="E8" s="441">
        <f>SUMIF('ПО КОРИСНИЦИМА'!$F$4:$F$547,'По основ. нам.'!A8,'ПО КОРИСНИЦИМА'!$I$4:$I$547)</f>
        <v>400000</v>
      </c>
      <c r="F8" s="441">
        <f t="shared" ref="F8:F77" si="1">C8+E8</f>
        <v>19060000</v>
      </c>
    </row>
    <row r="9" spans="1:6">
      <c r="A9" s="443">
        <v>413</v>
      </c>
      <c r="B9" s="440" t="s">
        <v>3760</v>
      </c>
      <c r="C9" s="441">
        <f>SUMIF('ПО КОРИСНИЦИМА'!$F$4:$F$547,'По основ. нам.'!A9,'ПО КОРИСНИЦИМА'!$H$4:$H$547)</f>
        <v>520000</v>
      </c>
      <c r="D9" s="442">
        <f t="shared" si="0"/>
        <v>6.3725490196078435E-4</v>
      </c>
      <c r="E9" s="441">
        <f>SUMIF('ПО КОРИСНИЦИМА'!$F$4:$F$547,'По основ. нам.'!A9,'ПО КОРИСНИЦИМА'!$I$4:$I$547)</f>
        <v>30000</v>
      </c>
      <c r="F9" s="441">
        <f t="shared" si="1"/>
        <v>550000</v>
      </c>
    </row>
    <row r="10" spans="1:6">
      <c r="A10" s="439" t="s">
        <v>3761</v>
      </c>
      <c r="B10" s="440" t="s">
        <v>3762</v>
      </c>
      <c r="C10" s="441">
        <f>SUMIF('ПО КОРИСНИЦИМА'!$F$4:$F$547,'По основ. нам.'!A10,'ПО КОРИСНИЦИМА'!$H$4:$H$547)</f>
        <v>3640000</v>
      </c>
      <c r="D10" s="442">
        <f t="shared" si="0"/>
        <v>4.4607843137254898E-3</v>
      </c>
      <c r="E10" s="441">
        <f>SUMIF('ПО КОРИСНИЦИМА'!$F$4:$F$547,'По основ. нам.'!A10,'ПО КОРИСНИЦИМА'!$I$4:$I$547)</f>
        <v>100000</v>
      </c>
      <c r="F10" s="441">
        <f t="shared" si="1"/>
        <v>3740000</v>
      </c>
    </row>
    <row r="11" spans="1:6">
      <c r="A11" s="439" t="s">
        <v>3763</v>
      </c>
      <c r="B11" s="440" t="s">
        <v>3764</v>
      </c>
      <c r="C11" s="441">
        <f>SUMIF('ПО КОРИСНИЦИМА'!$F$4:$F$547,'По основ. нам.'!A11,'ПО КОРИСНИЦИМА'!$H$4:$H$547)</f>
        <v>2620000</v>
      </c>
      <c r="D11" s="442">
        <f t="shared" si="0"/>
        <v>3.2107843137254904E-3</v>
      </c>
      <c r="E11" s="441">
        <f>SUMIF('ПО КОРИСНИЦИМА'!$F$4:$F$547,'По основ. нам.'!A11,'ПО КОРИСНИЦИМА'!$I$4:$I$547)</f>
        <v>0</v>
      </c>
      <c r="F11" s="441">
        <f t="shared" si="1"/>
        <v>2620000</v>
      </c>
    </row>
    <row r="12" spans="1:6">
      <c r="A12" s="439" t="s">
        <v>3765</v>
      </c>
      <c r="B12" s="440" t="s">
        <v>3766</v>
      </c>
      <c r="C12" s="441">
        <f>SUMIF('ПО КОРИСНИЦИМА'!$F$4:$F$547,'По основ. нам.'!A12,'ПО КОРИСНИЦИМА'!$H$4:$H$547)</f>
        <v>850000</v>
      </c>
      <c r="D12" s="442">
        <f t="shared" si="0"/>
        <v>1.0416666666666667E-3</v>
      </c>
      <c r="E12" s="441">
        <f>SUMIF('ПО КОРИСНИЦИМА'!$F$4:$F$547,'По основ. нам.'!A12,'ПО КОРИСНИЦИМА'!$I$4:$I$547)</f>
        <v>0</v>
      </c>
      <c r="F12" s="441">
        <f t="shared" si="1"/>
        <v>850000</v>
      </c>
    </row>
    <row r="13" spans="1:6" ht="21" hidden="1" customHeight="1">
      <c r="A13" s="439">
        <v>417</v>
      </c>
      <c r="B13" s="440" t="s">
        <v>3767</v>
      </c>
      <c r="C13" s="441">
        <f>SUMIF('ПО КОРИСНИЦИМА'!$F$4:$F$547,'По основ. нам.'!A13,'ПО КОРИСНИЦИМА'!$H$4:$H$547)</f>
        <v>0</v>
      </c>
      <c r="D13" s="442">
        <f t="shared" si="0"/>
        <v>0</v>
      </c>
      <c r="E13" s="441">
        <f>SUMIF('ПО КОРИСНИЦИМА'!$F$4:$F$547,'По основ. нам.'!A13,'ПО КОРИСНИЦИМА'!$I$4:$I$547)</f>
        <v>0</v>
      </c>
      <c r="F13" s="441">
        <f t="shared" si="1"/>
        <v>0</v>
      </c>
    </row>
    <row r="14" spans="1:6" hidden="1">
      <c r="A14" s="439">
        <v>418</v>
      </c>
      <c r="B14" s="440" t="s">
        <v>3768</v>
      </c>
      <c r="C14" s="441">
        <f>SUMIF('ПО КОРИСНИЦИМА'!$F$4:$F$547,'По основ. нам.'!A14,'ПО КОРИСНИЦИМА'!$H$4:$H$547)</f>
        <v>0</v>
      </c>
      <c r="D14" s="442">
        <f t="shared" si="0"/>
        <v>0</v>
      </c>
      <c r="E14" s="441">
        <f>SUMIF('ПО КОРИСНИЦИМА'!$F$4:$F$547,'По основ. нам.'!A14,'ПО КОРИСНИЦИМА'!$I$4:$I$547)</f>
        <v>0</v>
      </c>
      <c r="F14" s="444">
        <f t="shared" si="1"/>
        <v>0</v>
      </c>
    </row>
    <row r="15" spans="1:6">
      <c r="A15" s="435" t="s">
        <v>3769</v>
      </c>
      <c r="B15" s="436" t="s">
        <v>3770</v>
      </c>
      <c r="C15" s="437">
        <f>SUM(C16:C21)</f>
        <v>239330000</v>
      </c>
      <c r="D15" s="438">
        <f t="shared" si="0"/>
        <v>0.29329656862745096</v>
      </c>
      <c r="E15" s="437">
        <f>SUM(E16:E21)</f>
        <v>6370000</v>
      </c>
      <c r="F15" s="437">
        <f t="shared" si="1"/>
        <v>245700000</v>
      </c>
    </row>
    <row r="16" spans="1:6">
      <c r="A16" s="439" t="s">
        <v>3771</v>
      </c>
      <c r="B16" s="440" t="s">
        <v>3772</v>
      </c>
      <c r="C16" s="441">
        <f>SUMIF('ПО КОРИСНИЦИМА'!$F$4:$F$547,'По основ. нам.'!A16,'ПО КОРИСНИЦИМА'!$H$4:$H$547)</f>
        <v>79220000</v>
      </c>
      <c r="D16" s="442">
        <f t="shared" si="0"/>
        <v>9.7083333333333327E-2</v>
      </c>
      <c r="E16" s="441">
        <f>SUMIF('ПО КОРИСНИЦИМА'!$F$4:$F$547,'По основ. нам.'!A16,'ПО КОРИСНИЦИМА'!$I$4:$I$547)</f>
        <v>3000000</v>
      </c>
      <c r="F16" s="441">
        <f t="shared" si="1"/>
        <v>82220000</v>
      </c>
    </row>
    <row r="17" spans="1:6">
      <c r="A17" s="439">
        <v>422</v>
      </c>
      <c r="B17" s="440" t="s">
        <v>3773</v>
      </c>
      <c r="C17" s="441">
        <f>SUMIF('ПО КОРИСНИЦИМА'!$F$4:$F$547,'По основ. нам.'!A17,'ПО КОРИСНИЦИМА'!$H$4:$H$547)</f>
        <v>2260000</v>
      </c>
      <c r="D17" s="442">
        <f t="shared" si="0"/>
        <v>2.7696078431372548E-3</v>
      </c>
      <c r="E17" s="441">
        <f>SUMIF('ПО КОРИСНИЦИМА'!$F$4:$F$547,'По основ. нам.'!A17,'ПО КОРИСНИЦИМА'!$I$4:$I$547)</f>
        <v>0</v>
      </c>
      <c r="F17" s="441">
        <f t="shared" si="1"/>
        <v>2260000</v>
      </c>
    </row>
    <row r="18" spans="1:6">
      <c r="A18" s="439">
        <v>423</v>
      </c>
      <c r="B18" s="440" t="s">
        <v>3774</v>
      </c>
      <c r="C18" s="441">
        <f>SUMIF('ПО КОРИСНИЦИМА'!$F$4:$F$547,'По основ. нам.'!A18,'ПО КОРИСНИЦИМА'!$H$4:$H$547)</f>
        <v>45440000</v>
      </c>
      <c r="D18" s="442">
        <f t="shared" si="0"/>
        <v>5.5686274509803922E-2</v>
      </c>
      <c r="E18" s="441">
        <f>SUMIF('ПО КОРИСНИЦИМА'!$F$4:$F$547,'По основ. нам.'!A18,'ПО КОРИСНИЦИМА'!$I$4:$I$547)</f>
        <v>970000</v>
      </c>
      <c r="F18" s="441">
        <f t="shared" si="1"/>
        <v>46410000</v>
      </c>
    </row>
    <row r="19" spans="1:6">
      <c r="A19" s="439" t="s">
        <v>3775</v>
      </c>
      <c r="B19" s="440" t="s">
        <v>3776</v>
      </c>
      <c r="C19" s="441">
        <f>SUMIF('ПО КОРИСНИЦИМА'!$F$4:$F$547,'По основ. нам.'!A19,'ПО КОРИСНИЦИМА'!$H$4:$H$547)</f>
        <v>31130000</v>
      </c>
      <c r="D19" s="442">
        <f t="shared" si="0"/>
        <v>3.8149509803921566E-2</v>
      </c>
      <c r="E19" s="441">
        <f>SUMIF('ПО КОРИСНИЦИМА'!$F$4:$F$547,'По основ. нам.'!A19,'ПО КОРИСНИЦИМА'!$I$4:$I$547)</f>
        <v>600000</v>
      </c>
      <c r="F19" s="441">
        <f t="shared" si="1"/>
        <v>31730000</v>
      </c>
    </row>
    <row r="20" spans="1:6">
      <c r="A20" s="439" t="s">
        <v>3777</v>
      </c>
      <c r="B20" s="440" t="s">
        <v>3778</v>
      </c>
      <c r="C20" s="441">
        <f>SUMIF('ПО КОРИСНИЦИМА'!$F$4:$F$547,'По основ. нам.'!A20,'ПО КОРИСНИЦИМА'!$H$4:$H$547)</f>
        <v>62150000</v>
      </c>
      <c r="D20" s="442">
        <f t="shared" si="0"/>
        <v>7.6164215686274503E-2</v>
      </c>
      <c r="E20" s="441">
        <f>SUMIF('ПО КОРИСНИЦИМА'!$F$4:$F$547,'По основ. нам.'!A20,'ПО КОРИСНИЦИМА'!$I$4:$I$547)</f>
        <v>500000</v>
      </c>
      <c r="F20" s="441">
        <f t="shared" si="1"/>
        <v>62650000</v>
      </c>
    </row>
    <row r="21" spans="1:6">
      <c r="A21" s="439" t="s">
        <v>3779</v>
      </c>
      <c r="B21" s="440" t="s">
        <v>3780</v>
      </c>
      <c r="C21" s="441">
        <f>SUMIF('ПО КОРИСНИЦИМА'!$F$4:$F$547,'По основ. нам.'!A21,'ПО КОРИСНИЦИМА'!$H$4:$H$547)</f>
        <v>19130000</v>
      </c>
      <c r="D21" s="442">
        <f t="shared" si="0"/>
        <v>2.3443627450980394E-2</v>
      </c>
      <c r="E21" s="441">
        <f>SUMIF('ПО КОРИСНИЦИМА'!$F$4:$F$547,'По основ. нам.'!A21,'ПО КОРИСНИЦИМА'!$I$4:$I$547)</f>
        <v>1300000</v>
      </c>
      <c r="F21" s="441">
        <f t="shared" si="1"/>
        <v>20430000</v>
      </c>
    </row>
    <row r="22" spans="1:6" hidden="1">
      <c r="A22" s="435" t="s">
        <v>3781</v>
      </c>
      <c r="B22" s="436" t="s">
        <v>3782</v>
      </c>
      <c r="C22" s="437">
        <f>SUM(C23:C27)</f>
        <v>0</v>
      </c>
      <c r="D22" s="438">
        <f t="shared" si="0"/>
        <v>0</v>
      </c>
      <c r="E22" s="437">
        <f>SUM(E23:E27)</f>
        <v>0</v>
      </c>
      <c r="F22" s="437">
        <f t="shared" si="1"/>
        <v>0</v>
      </c>
    </row>
    <row r="23" spans="1:6" hidden="1">
      <c r="A23" s="439">
        <v>431</v>
      </c>
      <c r="B23" s="440" t="s">
        <v>3783</v>
      </c>
      <c r="C23" s="441">
        <f>SUMIF('ПО КОРИСНИЦИМА'!$F$4:$F$547,'По основ. нам.'!A23,'ПО КОРИСНИЦИМА'!$H$4:$H$547)</f>
        <v>0</v>
      </c>
      <c r="D23" s="442">
        <f t="shared" si="0"/>
        <v>0</v>
      </c>
      <c r="E23" s="441">
        <f>SUMIF('ПО КОРИСНИЦИМА'!$F$4:$F$547,'По основ. нам.'!A23,'ПО КОРИСНИЦИМА'!$I$4:$I$547)</f>
        <v>0</v>
      </c>
      <c r="F23" s="441">
        <f t="shared" si="1"/>
        <v>0</v>
      </c>
    </row>
    <row r="24" spans="1:6" hidden="1">
      <c r="A24" s="439">
        <v>432</v>
      </c>
      <c r="B24" s="440" t="s">
        <v>3784</v>
      </c>
      <c r="C24" s="441">
        <f>SUMIF('ПО КОРИСНИЦИМА'!$F$4:$F$547,'По основ. нам.'!A24,'ПО КОРИСНИЦИМА'!$H$4:$H$547)</f>
        <v>0</v>
      </c>
      <c r="D24" s="442">
        <f t="shared" si="0"/>
        <v>0</v>
      </c>
      <c r="E24" s="441">
        <f>SUMIF('ПО КОРИСНИЦИМА'!$F$4:$F$547,'По основ. нам.'!A24,'ПО КОРИСНИЦИМА'!$I$4:$I$547)</f>
        <v>0</v>
      </c>
      <c r="F24" s="444">
        <f t="shared" si="1"/>
        <v>0</v>
      </c>
    </row>
    <row r="25" spans="1:6" hidden="1">
      <c r="A25" s="439">
        <v>433</v>
      </c>
      <c r="B25" s="440" t="s">
        <v>3785</v>
      </c>
      <c r="C25" s="441">
        <f>SUMIF('ПО КОРИСНИЦИМА'!$F$4:$F$547,'По основ. нам.'!A25,'ПО КОРИСНИЦИМА'!$H$4:$H$547)</f>
        <v>0</v>
      </c>
      <c r="D25" s="442">
        <f t="shared" si="0"/>
        <v>0</v>
      </c>
      <c r="E25" s="441">
        <f>SUMIF('ПО КОРИСНИЦИМА'!$F$4:$F$547,'По основ. нам.'!A25,'ПО КОРИСНИЦИМА'!$I$4:$I$547)</f>
        <v>0</v>
      </c>
      <c r="F25" s="444">
        <f t="shared" si="1"/>
        <v>0</v>
      </c>
    </row>
    <row r="26" spans="1:6" hidden="1">
      <c r="A26" s="439">
        <v>434</v>
      </c>
      <c r="B26" s="440" t="s">
        <v>3786</v>
      </c>
      <c r="C26" s="441">
        <f>SUMIF('ПО КОРИСНИЦИМА'!$F$4:$F$547,'По основ. нам.'!A26,'ПО КОРИСНИЦИМА'!$H$4:$H$547)</f>
        <v>0</v>
      </c>
      <c r="D26" s="442">
        <f t="shared" si="0"/>
        <v>0</v>
      </c>
      <c r="E26" s="441">
        <f>SUMIF('ПО КОРИСНИЦИМА'!$F$4:$F$547,'По основ. нам.'!A26,'ПО КОРИСНИЦИМА'!$I$4:$I$547)</f>
        <v>0</v>
      </c>
      <c r="F26" s="441">
        <f t="shared" si="1"/>
        <v>0</v>
      </c>
    </row>
    <row r="27" spans="1:6" hidden="1">
      <c r="A27" s="439">
        <v>435</v>
      </c>
      <c r="B27" s="440" t="s">
        <v>3787</v>
      </c>
      <c r="C27" s="441">
        <f>SUMIF('ПО КОРИСНИЦИМА'!$F$4:$F$547,'По основ. нам.'!A27,'ПО КОРИСНИЦИМА'!$H$4:$H$547)</f>
        <v>0</v>
      </c>
      <c r="D27" s="442">
        <f t="shared" si="0"/>
        <v>0</v>
      </c>
      <c r="E27" s="441">
        <f>SUMIF('ПО КОРИСНИЦИМА'!$F$4:$F$547,'По основ. нам.'!A27,'ПО КОРИСНИЦИМА'!$I$4:$I$547)</f>
        <v>0</v>
      </c>
      <c r="F27" s="444">
        <f t="shared" si="1"/>
        <v>0</v>
      </c>
    </row>
    <row r="28" spans="1:6" hidden="1">
      <c r="A28" s="435" t="s">
        <v>3788</v>
      </c>
      <c r="B28" s="436" t="s">
        <v>3789</v>
      </c>
      <c r="C28" s="437">
        <f>SUM(C29:C32)</f>
        <v>0</v>
      </c>
      <c r="D28" s="438">
        <f t="shared" si="0"/>
        <v>0</v>
      </c>
      <c r="E28" s="437">
        <f>SUM(E29:E32)</f>
        <v>0</v>
      </c>
      <c r="F28" s="437">
        <f t="shared" si="1"/>
        <v>0</v>
      </c>
    </row>
    <row r="29" spans="1:6" hidden="1">
      <c r="A29" s="439">
        <v>441</v>
      </c>
      <c r="B29" s="440" t="s">
        <v>3790</v>
      </c>
      <c r="C29" s="441">
        <f>SUMIF('ПО КОРИСНИЦИМА'!$F$4:$F$547,'По основ. нам.'!A29,'ПО КОРИСНИЦИМА'!$H$4:$H$547)</f>
        <v>0</v>
      </c>
      <c r="D29" s="442">
        <f t="shared" si="0"/>
        <v>0</v>
      </c>
      <c r="E29" s="441">
        <f>SUMIF('ПО КОРИСНИЦИМА'!$F$4:$F$547,'По основ. нам.'!A29,'ПО КОРИСНИЦИМА'!$I$4:$I$547)</f>
        <v>0</v>
      </c>
      <c r="F29" s="441">
        <f t="shared" si="1"/>
        <v>0</v>
      </c>
    </row>
    <row r="30" spans="1:6" hidden="1">
      <c r="A30" s="439">
        <v>442</v>
      </c>
      <c r="B30" s="440" t="s">
        <v>3791</v>
      </c>
      <c r="C30" s="441">
        <f>SUMIF('ПО КОРИСНИЦИМА'!$F$4:$F$547,'По основ. нам.'!A30,'ПО КОРИСНИЦИМА'!$H$4:$H$547)</f>
        <v>0</v>
      </c>
      <c r="D30" s="442">
        <f t="shared" si="0"/>
        <v>0</v>
      </c>
      <c r="E30" s="441">
        <f>SUMIF('ПО КОРИСНИЦИМА'!$F$4:$F$547,'По основ. нам.'!A30,'ПО КОРИСНИЦИМА'!$I$4:$I$547)</f>
        <v>0</v>
      </c>
      <c r="F30" s="444">
        <f t="shared" si="1"/>
        <v>0</v>
      </c>
    </row>
    <row r="31" spans="1:6" hidden="1">
      <c r="A31" s="439">
        <v>443</v>
      </c>
      <c r="B31" s="440" t="s">
        <v>3792</v>
      </c>
      <c r="C31" s="441">
        <f>SUMIF('ПО КОРИСНИЦИМА'!$F$4:$F$547,'По основ. нам.'!A31,'ПО КОРИСНИЦИМА'!$H$4:$H$547)</f>
        <v>0</v>
      </c>
      <c r="D31" s="442">
        <f t="shared" si="0"/>
        <v>0</v>
      </c>
      <c r="E31" s="441">
        <f>SUMIF('ПО КОРИСНИЦИМА'!$F$4:$F$547,'По основ. нам.'!A31,'ПО КОРИСНИЦИМА'!$I$4:$I$547)</f>
        <v>0</v>
      </c>
      <c r="F31" s="444">
        <f t="shared" si="1"/>
        <v>0</v>
      </c>
    </row>
    <row r="32" spans="1:6" hidden="1">
      <c r="A32" s="445">
        <v>444</v>
      </c>
      <c r="B32" s="446" t="s">
        <v>3793</v>
      </c>
      <c r="C32" s="441">
        <f>SUMIF('ПО КОРИСНИЦИМА'!$F$4:$F$547,'По основ. нам.'!A32,'ПО КОРИСНИЦИМА'!$H$4:$H$547)</f>
        <v>0</v>
      </c>
      <c r="D32" s="442">
        <f t="shared" si="0"/>
        <v>0</v>
      </c>
      <c r="E32" s="441">
        <f>SUMIF('ПО КОРИСНИЦИМА'!$F$4:$F$547,'По основ. нам.'!A32,'ПО КОРИСНИЦИМА'!$I$4:$I$547)</f>
        <v>0</v>
      </c>
      <c r="F32" s="444">
        <f t="shared" si="1"/>
        <v>0</v>
      </c>
    </row>
    <row r="33" spans="1:6">
      <c r="A33" s="435" t="s">
        <v>3794</v>
      </c>
      <c r="B33" s="436" t="s">
        <v>3795</v>
      </c>
      <c r="C33" s="437">
        <f>SUM(C34:C38)</f>
        <v>27450000</v>
      </c>
      <c r="D33" s="438">
        <f t="shared" si="0"/>
        <v>3.363970588235294E-2</v>
      </c>
      <c r="E33" s="437">
        <f>SUM(E34:E38)</f>
        <v>6000000</v>
      </c>
      <c r="F33" s="437">
        <f t="shared" si="1"/>
        <v>33450000</v>
      </c>
    </row>
    <row r="34" spans="1:6" ht="23.25">
      <c r="A34" s="439" t="s">
        <v>3916</v>
      </c>
      <c r="B34" s="498" t="s">
        <v>1690</v>
      </c>
      <c r="C34" s="441">
        <f>SUMIF('ПО КОРИСНИЦИМА'!$F$4:$F$547,'По основ. нам.'!A34,'ПО КОРИСНИЦИМА'!$H$4:$H$547)</f>
        <v>11000000</v>
      </c>
      <c r="D34" s="442">
        <f t="shared" si="0"/>
        <v>1.3480392156862746E-2</v>
      </c>
      <c r="E34" s="441">
        <f>SUMIF('ПО КОРИСНИЦИМА'!$F$4:$F$547,'По основ. нам.'!A34,'ПО КОРИСНИЦИМА'!$I$4:$I$547)</f>
        <v>1500000</v>
      </c>
      <c r="F34" s="441">
        <f t="shared" si="1"/>
        <v>12500000</v>
      </c>
    </row>
    <row r="35" spans="1:6" ht="34.5">
      <c r="A35" s="439" t="s">
        <v>3850</v>
      </c>
      <c r="B35" s="498" t="s">
        <v>1699</v>
      </c>
      <c r="C35" s="441">
        <f>SUMIF('ПО КОРИСНИЦИМА'!$F$4:$F$547,'По основ. нам.'!A35,'ПО КОРИСНИЦИМА'!$H$4:$H$547)</f>
        <v>6450000</v>
      </c>
      <c r="D35" s="442">
        <f t="shared" si="0"/>
        <v>7.904411764705882E-3</v>
      </c>
      <c r="E35" s="441">
        <f>SUMIF('ПО КОРИСНИЦИМА'!$F$4:$F$547,'По основ. нам.'!A35,'ПО КОРИСНИЦИМА'!$I$4:$I$547)</f>
        <v>0</v>
      </c>
      <c r="F35" s="444">
        <f t="shared" si="1"/>
        <v>6450000</v>
      </c>
    </row>
    <row r="36" spans="1:6" hidden="1">
      <c r="A36" s="439" t="s">
        <v>3851</v>
      </c>
      <c r="B36" s="440" t="s">
        <v>3796</v>
      </c>
      <c r="C36" s="441">
        <f>SUMIF('ПО КОРИСНИЦИМА'!$F$4:$F$547,'По основ. нам.'!A36,'ПО КОРИСНИЦИМА'!$H$4:$H$547)</f>
        <v>0</v>
      </c>
      <c r="D36" s="442">
        <f t="shared" si="0"/>
        <v>0</v>
      </c>
      <c r="E36" s="441">
        <f>SUMIF('ПО КОРИСНИЦИМА'!$F$4:$F$547,'По основ. нам.'!A36,'ПО КОРИСНИЦИМА'!$I$4:$I$547)</f>
        <v>0</v>
      </c>
      <c r="F36" s="444"/>
    </row>
    <row r="37" spans="1:6" hidden="1">
      <c r="A37" s="439">
        <v>453</v>
      </c>
      <c r="B37" s="440" t="s">
        <v>3797</v>
      </c>
      <c r="C37" s="441">
        <f>SUMIF('ПО КОРИСНИЦИМА'!$F$4:$F$547,'По основ. нам.'!A37,'ПО КОРИСНИЦИМА'!$H$4:$H$547)</f>
        <v>0</v>
      </c>
      <c r="D37" s="442">
        <f t="shared" ref="D37:D68" si="2">IFERROR(C37/$C$86,"-")</f>
        <v>0</v>
      </c>
      <c r="E37" s="441">
        <f>SUMIF('ПО КОРИСНИЦИМА'!$F$4:$F$547,'По основ. нам.'!A37,'ПО КОРИСНИЦИМА'!$I$4:$I$547)</f>
        <v>0</v>
      </c>
      <c r="F37" s="444">
        <f t="shared" si="1"/>
        <v>0</v>
      </c>
    </row>
    <row r="38" spans="1:6">
      <c r="A38" s="439" t="s">
        <v>3918</v>
      </c>
      <c r="B38" s="440" t="s">
        <v>3798</v>
      </c>
      <c r="C38" s="441">
        <f>SUMIF('ПО КОРИСНИЦИМА'!$F$4:$F$547,'По основ. нам.'!A38,'ПО КОРИСНИЦИМА'!$H$4:$H$547)</f>
        <v>10000000</v>
      </c>
      <c r="D38" s="442">
        <f t="shared" si="2"/>
        <v>1.2254901960784314E-2</v>
      </c>
      <c r="E38" s="441">
        <f>SUMIF('ПО КОРИСНИЦИМА'!$F$4:$F$547,'По основ. нам.'!A38,'ПО КОРИСНИЦИМА'!$I$4:$I$547)</f>
        <v>4500000</v>
      </c>
      <c r="F38" s="444">
        <f t="shared" si="1"/>
        <v>14500000</v>
      </c>
    </row>
    <row r="39" spans="1:6">
      <c r="A39" s="435" t="s">
        <v>3799</v>
      </c>
      <c r="B39" s="436" t="s">
        <v>3709</v>
      </c>
      <c r="C39" s="437">
        <f>SUM(C40:C45)</f>
        <v>103190000</v>
      </c>
      <c r="D39" s="438">
        <f t="shared" si="2"/>
        <v>0.12645833333333334</v>
      </c>
      <c r="E39" s="437">
        <f>SUM(E40:E45)</f>
        <v>18250000</v>
      </c>
      <c r="F39" s="437">
        <f t="shared" si="1"/>
        <v>121440000</v>
      </c>
    </row>
    <row r="40" spans="1:6" hidden="1">
      <c r="A40" s="447">
        <v>461</v>
      </c>
      <c r="B40" s="448" t="s">
        <v>3800</v>
      </c>
      <c r="C40" s="441">
        <f>SUMIF('ПО КОРИСНИЦИМА'!$F$4:$F$547,'По основ. нам.'!A40,'ПО КОРИСНИЦИМА'!$H$4:$H$547)</f>
        <v>0</v>
      </c>
      <c r="D40" s="442">
        <f t="shared" si="2"/>
        <v>0</v>
      </c>
      <c r="E40" s="441">
        <f>SUMIF('ПО КОРИСНИЦИМА'!$F$4:$F$547,'По основ. нам.'!A40,'ПО КОРИСНИЦИМА'!$I$4:$I$547)</f>
        <v>0</v>
      </c>
      <c r="F40" s="444">
        <f t="shared" si="1"/>
        <v>0</v>
      </c>
    </row>
    <row r="41" spans="1:6" ht="22.5" hidden="1">
      <c r="A41" s="447">
        <v>462</v>
      </c>
      <c r="B41" s="448" t="s">
        <v>3801</v>
      </c>
      <c r="C41" s="441">
        <f>SUMIF('ПО КОРИСНИЦИМА'!$F$4:$F$547,'По основ. нам.'!A41,'ПО КОРИСНИЦИМА'!$H$4:$H$547)</f>
        <v>0</v>
      </c>
      <c r="D41" s="442">
        <f t="shared" si="2"/>
        <v>0</v>
      </c>
      <c r="E41" s="441">
        <f>SUMIF('ПО КОРИСНИЦИМА'!$F$4:$F$547,'По основ. нам.'!A41,'ПО КОРИСНИЦИМА'!$I$4:$I$547)</f>
        <v>0</v>
      </c>
      <c r="F41" s="444">
        <f t="shared" si="1"/>
        <v>0</v>
      </c>
    </row>
    <row r="42" spans="1:6">
      <c r="A42" s="447">
        <v>4631</v>
      </c>
      <c r="B42" s="448" t="s">
        <v>3802</v>
      </c>
      <c r="C42" s="441">
        <f>SUMIF('ПО КОРИСНИЦИМА'!$F$4:$F$547,'По основ. нам.'!A42,'ПО КОРИСНИЦИМА'!$H$4:$H$547)</f>
        <v>65020000</v>
      </c>
      <c r="D42" s="442">
        <f t="shared" si="2"/>
        <v>7.9681372549019608E-2</v>
      </c>
      <c r="E42" s="441">
        <f>SUMIF('ПО КОРИСНИЦИМА'!$F$4:$F$547,'По основ. нам.'!A42,'ПО КОРИСНИЦИМА'!$I$4:$I$547)</f>
        <v>0</v>
      </c>
      <c r="F42" s="441">
        <f t="shared" si="1"/>
        <v>65020000</v>
      </c>
    </row>
    <row r="43" spans="1:6" ht="22.5">
      <c r="A43" s="447">
        <v>4632</v>
      </c>
      <c r="B43" s="448" t="s">
        <v>3803</v>
      </c>
      <c r="C43" s="441">
        <f>SUMIF('ПО КОРИСНИЦИМА'!$F$4:$F$547,'По основ. нам.'!A43,'ПО КОРИСНИЦИМА'!$H$4:$H$547)</f>
        <v>10730000</v>
      </c>
      <c r="D43" s="442">
        <f t="shared" si="2"/>
        <v>1.3149509803921568E-2</v>
      </c>
      <c r="E43" s="441">
        <f>SUMIF('ПО КОРИСНИЦИМА'!$F$4:$F$547,'По основ. нам.'!A43,'ПО КОРИСНИЦИМА'!$I$4:$I$547)</f>
        <v>0</v>
      </c>
      <c r="F43" s="441">
        <f t="shared" si="1"/>
        <v>10730000</v>
      </c>
    </row>
    <row r="44" spans="1:6" ht="22.5">
      <c r="A44" s="447">
        <v>464</v>
      </c>
      <c r="B44" s="448" t="s">
        <v>3804</v>
      </c>
      <c r="C44" s="441">
        <f>SUMIF('ПО КОРИСНИЦИМА'!$F$4:$F$547,'По основ. нам.'!A44,'ПО КОРИСНИЦИМА'!$H$4:$H$547)</f>
        <v>13600000</v>
      </c>
      <c r="D44" s="442">
        <f t="shared" si="2"/>
        <v>1.6666666666666666E-2</v>
      </c>
      <c r="E44" s="441">
        <f>SUMIF('ПО КОРИСНИЦИМА'!$F$4:$F$547,'По основ. нам.'!A44,'ПО КОРИСНИЦИМА'!$I$4:$I$547)</f>
        <v>0</v>
      </c>
      <c r="F44" s="444">
        <f t="shared" si="1"/>
        <v>13600000</v>
      </c>
    </row>
    <row r="45" spans="1:6">
      <c r="A45" s="447">
        <v>465</v>
      </c>
      <c r="B45" s="448" t="s">
        <v>3805</v>
      </c>
      <c r="C45" s="441">
        <f>SUMIF('ПО КОРИСНИЦИМА'!$F$4:$F$547,'По основ. нам.'!A45,'ПО КОРИСНИЦИМА'!$H$4:$H$547)</f>
        <v>13840000</v>
      </c>
      <c r="D45" s="442">
        <f t="shared" si="2"/>
        <v>1.696078431372549E-2</v>
      </c>
      <c r="E45" s="441">
        <f>SUMIF('ПО КОРИСНИЦИМА'!$F$4:$F$547,'По основ. нам.'!A45,'ПО КОРИСНИЦИМА'!$I$4:$I$547)</f>
        <v>18250000</v>
      </c>
      <c r="F45" s="444">
        <f t="shared" si="1"/>
        <v>32090000</v>
      </c>
    </row>
    <row r="46" spans="1:6">
      <c r="A46" s="435" t="s">
        <v>3806</v>
      </c>
      <c r="B46" s="436" t="s">
        <v>3807</v>
      </c>
      <c r="C46" s="437">
        <f>SUM(C47)</f>
        <v>10450000</v>
      </c>
      <c r="D46" s="438">
        <f t="shared" si="2"/>
        <v>1.2806372549019607E-2</v>
      </c>
      <c r="E46" s="437">
        <f>SUM(E47)</f>
        <v>0</v>
      </c>
      <c r="F46" s="437">
        <f t="shared" si="1"/>
        <v>10450000</v>
      </c>
    </row>
    <row r="47" spans="1:6">
      <c r="A47" s="439">
        <v>472</v>
      </c>
      <c r="B47" s="440" t="s">
        <v>3808</v>
      </c>
      <c r="C47" s="441">
        <f>SUMIF('ПО КОРИСНИЦИМА'!$F$4:$F$547,'По основ. нам.'!A47,'ПО КОРИСНИЦИМА'!$H$4:$H$547)</f>
        <v>10450000</v>
      </c>
      <c r="D47" s="442">
        <f t="shared" si="2"/>
        <v>1.2806372549019607E-2</v>
      </c>
      <c r="E47" s="441">
        <f>SUMIF('ПО КОРИСНИЦИМА'!$F$4:$F$547,'По основ. нам.'!A47,'ПО КОРИСНИЦИМА'!$I$4:$I$547)</f>
        <v>0</v>
      </c>
      <c r="F47" s="441">
        <f t="shared" si="1"/>
        <v>10450000</v>
      </c>
    </row>
    <row r="48" spans="1:6">
      <c r="A48" s="435" t="s">
        <v>3809</v>
      </c>
      <c r="B48" s="436" t="s">
        <v>3810</v>
      </c>
      <c r="C48" s="437">
        <f>SUM(C49:C54)</f>
        <v>62970000</v>
      </c>
      <c r="D48" s="438">
        <f t="shared" si="2"/>
        <v>7.7169117647058819E-2</v>
      </c>
      <c r="E48" s="437">
        <f>SUM(E49:E54)</f>
        <v>17350000</v>
      </c>
      <c r="F48" s="437">
        <f>C48+E48</f>
        <v>80320000</v>
      </c>
    </row>
    <row r="49" spans="1:6">
      <c r="A49" s="439">
        <v>481</v>
      </c>
      <c r="B49" s="440" t="s">
        <v>3811</v>
      </c>
      <c r="C49" s="441">
        <f>SUMIF('ПО КОРИСНИЦИМА'!$F$4:$F$547,'По основ. нам.'!A49,'ПО КОРИСНИЦИМА'!$H$4:$H$547)</f>
        <v>53930000</v>
      </c>
      <c r="D49" s="442">
        <f t="shared" si="2"/>
        <v>6.6090686274509799E-2</v>
      </c>
      <c r="E49" s="441">
        <f>SUMIF('ПО КОРИСНИЦИМА'!$F$4:$F$547,'По основ. нам.'!A49,'ПО КОРИСНИЦИМА'!$I$4:$I$547)</f>
        <v>17000000</v>
      </c>
      <c r="F49" s="441">
        <f>C49+E49</f>
        <v>70930000</v>
      </c>
    </row>
    <row r="50" spans="1:6">
      <c r="A50" s="439">
        <v>482</v>
      </c>
      <c r="B50" s="440" t="s">
        <v>3812</v>
      </c>
      <c r="C50" s="441">
        <f>SUMIF('ПО КОРИСНИЦИМА'!$F$4:$F$547,'По основ. нам.'!A50,'ПО КОРИСНИЦИМА'!$H$4:$H$547)</f>
        <v>1850000</v>
      </c>
      <c r="D50" s="442">
        <f t="shared" si="2"/>
        <v>2.2671568627450982E-3</v>
      </c>
      <c r="E50" s="441">
        <f>SUMIF('ПО КОРИСНИЦИМА'!$F$4:$F$547,'По основ. нам.'!A50,'ПО КОРИСНИЦИМА'!$I$4:$I$547)</f>
        <v>250000</v>
      </c>
      <c r="F50" s="441">
        <f>C50+E50</f>
        <v>2100000</v>
      </c>
    </row>
    <row r="51" spans="1:6">
      <c r="A51" s="439">
        <v>483</v>
      </c>
      <c r="B51" s="440" t="s">
        <v>3813</v>
      </c>
      <c r="C51" s="441">
        <f>SUMIF('ПО КОРИСНИЦИМА'!$F$4:$F$547,'По основ. нам.'!A51,'ПО КОРИСНИЦИМА'!$H$4:$H$547)</f>
        <v>2850000</v>
      </c>
      <c r="D51" s="442">
        <f t="shared" si="2"/>
        <v>3.4926470588235296E-3</v>
      </c>
      <c r="E51" s="441">
        <f>SUMIF('ПО КОРИСНИЦИМА'!$F$4:$F$547,'По основ. нам.'!A51,'ПО КОРИСНИЦИМА'!$I$4:$I$547)</f>
        <v>100000</v>
      </c>
      <c r="F51" s="441">
        <f t="shared" si="1"/>
        <v>2950000</v>
      </c>
    </row>
    <row r="52" spans="1:6" ht="34.5">
      <c r="A52" s="439">
        <v>484</v>
      </c>
      <c r="B52" s="499" t="s">
        <v>3814</v>
      </c>
      <c r="C52" s="441">
        <f>SUMIF('ПО КОРИСНИЦИМА'!$F$4:$F$547,'По основ. нам.'!A52,'ПО КОРИСНИЦИМА'!$H$4:$H$547)</f>
        <v>4000000</v>
      </c>
      <c r="D52" s="442">
        <f t="shared" si="2"/>
        <v>4.9019607843137254E-3</v>
      </c>
      <c r="E52" s="441">
        <f>SUMIF('ПО КОРИСНИЦИМА'!$F$4:$F$547,'По основ. нам.'!A52,'ПО КОРИСНИЦИМА'!$I$4:$I$547)</f>
        <v>0</v>
      </c>
      <c r="F52" s="441">
        <f t="shared" si="1"/>
        <v>4000000</v>
      </c>
    </row>
    <row r="53" spans="1:6" ht="23.25">
      <c r="A53" s="439">
        <v>485</v>
      </c>
      <c r="B53" s="499" t="s">
        <v>3815</v>
      </c>
      <c r="C53" s="441">
        <f>SUMIF('ПО КОРИСНИЦИМА'!$F$4:$F$547,'По основ. нам.'!A53,'ПО КОРИСНИЦИМА'!$H$4:$H$547)</f>
        <v>340000</v>
      </c>
      <c r="D53" s="442">
        <f t="shared" si="2"/>
        <v>4.1666666666666669E-4</v>
      </c>
      <c r="E53" s="441">
        <f>SUMIF('ПО КОРИСНИЦИМА'!$F$4:$F$547,'По основ. нам.'!A53,'ПО КОРИСНИЦИМА'!$I$4:$I$547)</f>
        <v>0</v>
      </c>
      <c r="F53" s="441">
        <f t="shared" si="1"/>
        <v>340000</v>
      </c>
    </row>
    <row r="54" spans="1:6" hidden="1">
      <c r="A54" s="439">
        <v>489</v>
      </c>
      <c r="B54" s="440" t="s">
        <v>3816</v>
      </c>
      <c r="C54" s="441">
        <f>SUMIF('ПО КОРИСНИЦИМА'!$F$4:$F$547,'По основ. нам.'!A54,'ПО КОРИСНИЦИМА'!$H$4:$H$547)</f>
        <v>0</v>
      </c>
      <c r="D54" s="442">
        <f t="shared" si="2"/>
        <v>0</v>
      </c>
      <c r="E54" s="441">
        <f>SUMIF('ПО КОРИСНИЦИМА'!$F$4:$F$547,'По основ. нам.'!A54,'ПО КОРИСНИЦИМА'!$I$4:$I$547)</f>
        <v>0</v>
      </c>
      <c r="F54" s="441">
        <f t="shared" si="1"/>
        <v>0</v>
      </c>
    </row>
    <row r="55" spans="1:6" ht="22.5">
      <c r="A55" s="449">
        <v>490</v>
      </c>
      <c r="B55" s="450" t="s">
        <v>3817</v>
      </c>
      <c r="C55" s="437">
        <f>SUM(C56:C61)</f>
        <v>27500000</v>
      </c>
      <c r="D55" s="438">
        <f t="shared" si="2"/>
        <v>3.3700980392156861E-2</v>
      </c>
      <c r="E55" s="437">
        <f>SUM(E60:E61)</f>
        <v>0</v>
      </c>
      <c r="F55" s="437">
        <f t="shared" si="1"/>
        <v>27500000</v>
      </c>
    </row>
    <row r="56" spans="1:6" ht="23.25" hidden="1">
      <c r="A56" s="451">
        <v>494</v>
      </c>
      <c r="B56" s="452" t="s">
        <v>4026</v>
      </c>
      <c r="C56" s="441">
        <f>SUMIF('ПО КОРИСНИЦИМА'!$F$4:$F$547,'По основ. нам.'!A56,'ПО КОРИСНИЦИМА'!$H$4:$H$547)</f>
        <v>0</v>
      </c>
      <c r="D56" s="442">
        <f t="shared" si="2"/>
        <v>0</v>
      </c>
      <c r="E56" s="441">
        <f>SUMIF('ПО КОРИСНИЦИМА'!$F$4:$F$547,'По основ. нам.'!A56,'ПО КОРИСНИЦИМА'!$I$4:$I$547)</f>
        <v>0</v>
      </c>
      <c r="F56" s="441">
        <f t="shared" si="1"/>
        <v>0</v>
      </c>
    </row>
    <row r="57" spans="1:6" ht="23.25" hidden="1">
      <c r="A57" s="451">
        <v>495</v>
      </c>
      <c r="B57" s="452" t="s">
        <v>4027</v>
      </c>
      <c r="C57" s="441">
        <f>SUMIF('ПО КОРИСНИЦИМА'!$F$4:$F$547,'По основ. нам.'!A57,'ПО КОРИСНИЦИМА'!$H$4:$H$547)</f>
        <v>0</v>
      </c>
      <c r="D57" s="442">
        <f t="shared" si="2"/>
        <v>0</v>
      </c>
      <c r="E57" s="441">
        <f>SUMIF('ПО КОРИСНИЦИМА'!$F$4:$F$547,'По основ. нам.'!A57,'ПО КОРИСНИЦИМА'!$I$4:$I$547)</f>
        <v>0</v>
      </c>
      <c r="F57" s="441">
        <f t="shared" si="1"/>
        <v>0</v>
      </c>
    </row>
    <row r="58" spans="1:6" ht="34.5" hidden="1">
      <c r="A58" s="451">
        <v>496</v>
      </c>
      <c r="B58" s="452" t="s">
        <v>4028</v>
      </c>
      <c r="C58" s="441">
        <f>SUMIF('ПО КОРИСНИЦИМА'!$F$4:$F$547,'По основ. нам.'!A58,'ПО КОРИСНИЦИМА'!$H$4:$H$547)</f>
        <v>0</v>
      </c>
      <c r="D58" s="442">
        <f t="shared" si="2"/>
        <v>0</v>
      </c>
      <c r="E58" s="441">
        <f>SUMIF('ПО КОРИСНИЦИМА'!$F$4:$F$547,'По основ. нам.'!A58,'ПО КОРИСНИЦИМА'!$I$4:$I$547)</f>
        <v>0</v>
      </c>
      <c r="F58" s="441">
        <f t="shared" si="1"/>
        <v>0</v>
      </c>
    </row>
    <row r="59" spans="1:6" ht="23.25" hidden="1">
      <c r="A59" s="451">
        <v>499</v>
      </c>
      <c r="B59" s="452" t="s">
        <v>4029</v>
      </c>
      <c r="C59" s="441"/>
      <c r="D59" s="442">
        <f t="shared" si="2"/>
        <v>0</v>
      </c>
      <c r="E59" s="441">
        <f>SUMIF('ПО КОРИСНИЦИМА'!$F$4:$F$547,'По основ. нам.'!A59,'ПО КОРИСНИЦИМА'!$I$4:$I$547)</f>
        <v>0</v>
      </c>
      <c r="F59" s="441">
        <f t="shared" si="1"/>
        <v>0</v>
      </c>
    </row>
    <row r="60" spans="1:6">
      <c r="A60" s="451">
        <v>49911</v>
      </c>
      <c r="B60" s="452" t="s">
        <v>3818</v>
      </c>
      <c r="C60" s="441">
        <v>500000</v>
      </c>
      <c r="D60" s="442">
        <f t="shared" si="2"/>
        <v>6.1274509803921568E-4</v>
      </c>
      <c r="E60" s="441">
        <f>SUMIF('ПО КОРИСНИЦИМА'!$F$4:$F$547,'По основ. нам.'!A60,'ПО КОРИСНИЦИМА'!$I$4:$I$547)</f>
        <v>0</v>
      </c>
      <c r="F60" s="441">
        <f t="shared" si="1"/>
        <v>500000</v>
      </c>
    </row>
    <row r="61" spans="1:6">
      <c r="A61" s="439" t="s">
        <v>3819</v>
      </c>
      <c r="B61" s="440" t="s">
        <v>3820</v>
      </c>
      <c r="C61" s="441">
        <v>27000000</v>
      </c>
      <c r="D61" s="442">
        <f t="shared" si="2"/>
        <v>3.3088235294117647E-2</v>
      </c>
      <c r="E61" s="441">
        <f>SUMIF('ПО КОРИСНИЦИМА'!$F$4:$F$547,'По основ. нам.'!A61,'ПО КОРИСНИЦИМА'!$I$4:$I$547)</f>
        <v>0</v>
      </c>
      <c r="F61" s="441">
        <f t="shared" si="1"/>
        <v>27000000</v>
      </c>
    </row>
    <row r="62" spans="1:6">
      <c r="A62" s="453" t="s">
        <v>3921</v>
      </c>
      <c r="B62" s="454" t="s">
        <v>4050</v>
      </c>
      <c r="C62" s="455">
        <f>SUM(C63,C69,C74,C78)</f>
        <v>201400000</v>
      </c>
      <c r="D62" s="456">
        <f t="shared" si="2"/>
        <v>0.24681372549019609</v>
      </c>
      <c r="E62" s="455">
        <f>SUM(E63,E69,E74,E78)</f>
        <v>167700000</v>
      </c>
      <c r="F62" s="455">
        <f>SUM(C62,E62)</f>
        <v>369100000</v>
      </c>
    </row>
    <row r="63" spans="1:6">
      <c r="A63" s="435" t="s">
        <v>3821</v>
      </c>
      <c r="B63" s="436" t="s">
        <v>3822</v>
      </c>
      <c r="C63" s="437">
        <f>SUM(C64:C68)</f>
        <v>192950000</v>
      </c>
      <c r="D63" s="438">
        <f t="shared" si="2"/>
        <v>0.23645833333333333</v>
      </c>
      <c r="E63" s="437">
        <f>SUM(E64:E68)</f>
        <v>152700000</v>
      </c>
      <c r="F63" s="437">
        <f t="shared" si="1"/>
        <v>345650000</v>
      </c>
    </row>
    <row r="64" spans="1:6">
      <c r="A64" s="439">
        <v>511</v>
      </c>
      <c r="B64" s="440" t="s">
        <v>3823</v>
      </c>
      <c r="C64" s="441">
        <f>SUMIF('ПО КОРИСНИЦИМА'!$F$4:$F$547,'По основ. нам.'!A64,'ПО КОРИСНИЦИМА'!$H$4:$H$547)</f>
        <v>167850000</v>
      </c>
      <c r="D64" s="442">
        <f t="shared" si="2"/>
        <v>0.2056985294117647</v>
      </c>
      <c r="E64" s="441">
        <f>SUMIF('ПО КОРИСНИЦИМА'!$F$4:$F$547,'По основ. нам.'!A64,'ПО КОРИСНИЦИМА'!$I$4:$I$547)</f>
        <v>129300000</v>
      </c>
      <c r="F64" s="441">
        <f t="shared" si="1"/>
        <v>297150000</v>
      </c>
    </row>
    <row r="65" spans="1:6">
      <c r="A65" s="439">
        <v>512</v>
      </c>
      <c r="B65" s="440" t="s">
        <v>3824</v>
      </c>
      <c r="C65" s="441">
        <f>SUMIF('ПО КОРИСНИЦИМА'!$F$4:$F$547,'По основ. нам.'!A65,'ПО КОРИСНИЦИМА'!$H$4:$H$547)</f>
        <v>18800000</v>
      </c>
      <c r="D65" s="442">
        <f t="shared" si="2"/>
        <v>2.3039215686274511E-2</v>
      </c>
      <c r="E65" s="441">
        <f>SUMIF('ПО КОРИСНИЦИМА'!$F$4:$F$547,'По основ. нам.'!A65,'ПО КОРИСНИЦИМА'!$I$4:$I$547)</f>
        <v>23400000</v>
      </c>
      <c r="F65" s="441">
        <f t="shared" si="1"/>
        <v>42200000</v>
      </c>
    </row>
    <row r="66" spans="1:6" hidden="1">
      <c r="A66" s="439">
        <v>513</v>
      </c>
      <c r="B66" s="440" t="s">
        <v>3825</v>
      </c>
      <c r="C66" s="441">
        <f>SUMIF('ПО КОРИСНИЦИМА'!$F$4:$F$547,'По основ. нам.'!A66,'ПО КОРИСНИЦИМА'!$H$4:$H$547)</f>
        <v>0</v>
      </c>
      <c r="D66" s="442">
        <f t="shared" si="2"/>
        <v>0</v>
      </c>
      <c r="E66" s="441">
        <f>SUMIF('ПО КОРИСНИЦИМА'!$F$4:$F$547,'По основ. нам.'!A66,'ПО КОРИСНИЦИМА'!$I$4:$I$547)</f>
        <v>0</v>
      </c>
      <c r="F66" s="444">
        <f t="shared" si="1"/>
        <v>0</v>
      </c>
    </row>
    <row r="67" spans="1:6" hidden="1">
      <c r="A67" s="439">
        <v>514</v>
      </c>
      <c r="B67" s="440" t="s">
        <v>3826</v>
      </c>
      <c r="C67" s="441">
        <f>SUMIF('ПО КОРИСНИЦИМА'!$F$4:$F$547,'По основ. нам.'!A67,'ПО КОРИСНИЦИМА'!$H$4:$H$547)</f>
        <v>0</v>
      </c>
      <c r="D67" s="442">
        <f t="shared" si="2"/>
        <v>0</v>
      </c>
      <c r="E67" s="441">
        <f>SUMIF('ПО КОРИСНИЦИМА'!$F$4:$F$547,'По основ. нам.'!A67,'ПО КОРИСНИЦИМА'!$I$4:$I$547)</f>
        <v>0</v>
      </c>
      <c r="F67" s="441">
        <f t="shared" si="1"/>
        <v>0</v>
      </c>
    </row>
    <row r="68" spans="1:6">
      <c r="A68" s="439">
        <v>515</v>
      </c>
      <c r="B68" s="440" t="s">
        <v>3827</v>
      </c>
      <c r="C68" s="441">
        <f>SUMIF('ПО КОРИСНИЦИМА'!$F$4:$F$547,'По основ. нам.'!A68,'ПО КОРИСНИЦИМА'!$H$4:$H$547)</f>
        <v>6300000</v>
      </c>
      <c r="D68" s="442">
        <f t="shared" si="2"/>
        <v>7.720588235294118E-3</v>
      </c>
      <c r="E68" s="441">
        <f>SUMIF('ПО КОРИСНИЦИМА'!$F$4:$F$547,'По основ. нам.'!A68,'ПО КОРИСНИЦИМА'!$I$4:$I$547)</f>
        <v>0</v>
      </c>
      <c r="F68" s="441">
        <f t="shared" si="1"/>
        <v>6300000</v>
      </c>
    </row>
    <row r="69" spans="1:6">
      <c r="A69" s="435" t="s">
        <v>3828</v>
      </c>
      <c r="B69" s="436" t="s">
        <v>3829</v>
      </c>
      <c r="C69" s="437">
        <f>SUM(C70:C73)</f>
        <v>0</v>
      </c>
      <c r="D69" s="438">
        <f t="shared" ref="D69:D76" si="3">IFERROR(C69/$C$86,"-")</f>
        <v>0</v>
      </c>
      <c r="E69" s="437">
        <f>SUM(E70:E72)</f>
        <v>15000000</v>
      </c>
      <c r="F69" s="437">
        <f t="shared" si="1"/>
        <v>15000000</v>
      </c>
    </row>
    <row r="70" spans="1:6" hidden="1">
      <c r="A70" s="447">
        <v>521</v>
      </c>
      <c r="B70" s="457" t="s">
        <v>3830</v>
      </c>
      <c r="C70" s="441">
        <f>SUMIF('ПО КОРИСНИЦИМА'!$F$4:$F$547,'По основ. нам.'!A70,'ПО КОРИСНИЦИМА'!$H$4:$H$547)</f>
        <v>0</v>
      </c>
      <c r="D70" s="458">
        <f t="shared" si="3"/>
        <v>0</v>
      </c>
      <c r="E70" s="441">
        <f>SUMIF('ПО КОРИСНИЦИМА'!$F$4:$F$547,'По основ. нам.'!A70,'ПО КОРИСНИЦИМА'!$I$4:$I$547)</f>
        <v>0</v>
      </c>
      <c r="F70" s="441">
        <f t="shared" si="1"/>
        <v>0</v>
      </c>
    </row>
    <row r="71" spans="1:6">
      <c r="A71" s="447">
        <v>522</v>
      </c>
      <c r="B71" s="457" t="s">
        <v>3831</v>
      </c>
      <c r="C71" s="441">
        <f>SUMIF('ПО КОРИСНИЦИМА'!$F$4:$F$547,'По основ. нам.'!A71,'ПО КОРИСНИЦИМА'!$H$4:$H$547)</f>
        <v>0</v>
      </c>
      <c r="D71" s="458">
        <f t="shared" si="3"/>
        <v>0</v>
      </c>
      <c r="E71" s="441">
        <f>SUMIF('ПО КОРИСНИЦИМА'!$F$4:$F$547,'По основ. нам.'!A71,'ПО КОРИСНИЦИМА'!$I$4:$I$547)</f>
        <v>7000000</v>
      </c>
      <c r="F71" s="441">
        <f t="shared" si="1"/>
        <v>7000000</v>
      </c>
    </row>
    <row r="72" spans="1:6">
      <c r="A72" s="447">
        <v>523</v>
      </c>
      <c r="B72" s="459" t="s">
        <v>3832</v>
      </c>
      <c r="C72" s="441">
        <f>SUMIF('ПО КОРИСНИЦИМА'!$F$4:$F$547,'По основ. нам.'!A72,'ПО КОРИСНИЦИМА'!$H$4:$H$547)</f>
        <v>0</v>
      </c>
      <c r="D72" s="458">
        <f t="shared" si="3"/>
        <v>0</v>
      </c>
      <c r="E72" s="441">
        <f>SUMIF('ПО КОРИСНИЦИМА'!$F$4:$F$547,'По основ. нам.'!A72,'ПО КОРИСНИЦИМА'!$I$4:$I$547)</f>
        <v>8000000</v>
      </c>
      <c r="F72" s="441">
        <f t="shared" si="1"/>
        <v>8000000</v>
      </c>
    </row>
    <row r="73" spans="1:6" hidden="1">
      <c r="A73" s="447">
        <v>531</v>
      </c>
      <c r="B73" s="459" t="s">
        <v>4030</v>
      </c>
      <c r="C73" s="441">
        <f>SUMIF('ПО КОРИСНИЦИМА'!$F$4:$F$547,'По основ. нам.'!A73,'ПО КОРИСНИЦИМА'!$H$4:$H$547)</f>
        <v>0</v>
      </c>
      <c r="D73" s="458">
        <f t="shared" si="3"/>
        <v>0</v>
      </c>
      <c r="E73" s="441">
        <f>SUMIF('ПО КОРИСНИЦИМА'!$F$4:$F$547,'По основ. нам.'!A73,'ПО КОРИСНИЦИМА'!$I$4:$I$547)</f>
        <v>0</v>
      </c>
      <c r="F73" s="441"/>
    </row>
    <row r="74" spans="1:6" ht="15.75" customHeight="1">
      <c r="A74" s="435" t="s">
        <v>3833</v>
      </c>
      <c r="B74" s="436" t="s">
        <v>3834</v>
      </c>
      <c r="C74" s="460">
        <f>SUM(C75:C77)</f>
        <v>8450000</v>
      </c>
      <c r="D74" s="461">
        <f t="shared" si="3"/>
        <v>1.0355392156862745E-2</v>
      </c>
      <c r="E74" s="462">
        <f>SUM(E75:E77)</f>
        <v>0</v>
      </c>
      <c r="F74" s="437">
        <f t="shared" si="1"/>
        <v>8450000</v>
      </c>
    </row>
    <row r="75" spans="1:6">
      <c r="A75" s="447">
        <v>541</v>
      </c>
      <c r="B75" s="457" t="s">
        <v>3835</v>
      </c>
      <c r="C75" s="441">
        <f>SUMIF('ПО КОРИСНИЦИМА'!$F$4:$F$547,'По основ. нам.'!A75,'ПО КОРИСНИЦИМА'!$H$4:$H$547)</f>
        <v>8450000</v>
      </c>
      <c r="D75" s="458">
        <f t="shared" si="3"/>
        <v>1.0355392156862745E-2</v>
      </c>
      <c r="E75" s="441">
        <f>SUMIF('ПО КОРИСНИЦИМА'!$F$4:$F$547,'По основ. нам.'!A75,'ПО КОРИСНИЦИМА'!$I$4:$I$547)</f>
        <v>0</v>
      </c>
      <c r="F75" s="441">
        <f t="shared" si="1"/>
        <v>8450000</v>
      </c>
    </row>
    <row r="76" spans="1:6" hidden="1">
      <c r="A76" s="447">
        <v>542</v>
      </c>
      <c r="B76" s="457" t="s">
        <v>3836</v>
      </c>
      <c r="C76" s="441">
        <f>SUMIF('ПО КОРИСНИЦИМА'!$F$4:$F$547,'По основ. нам.'!A76,'ПО КОРИСНИЦИМА'!$H$4:$H$547)</f>
        <v>0</v>
      </c>
      <c r="D76" s="458">
        <f t="shared" si="3"/>
        <v>0</v>
      </c>
      <c r="E76" s="441">
        <f>SUMIF('ПО КОРИСНИЦИМА'!$F$4:$F$547,'По основ. нам.'!A76,'ПО КОРИСНИЦИМА'!$I$4:$I$547)</f>
        <v>0</v>
      </c>
      <c r="F76" s="444">
        <f t="shared" si="1"/>
        <v>0</v>
      </c>
    </row>
    <row r="77" spans="1:6" hidden="1">
      <c r="A77" s="447">
        <v>543</v>
      </c>
      <c r="B77" s="459" t="s">
        <v>3837</v>
      </c>
      <c r="C77" s="441">
        <f>SUMIF('ПО КОРИСНИЦИМА'!$F$4:$F$547,'По основ. нам.'!A77,'ПО КОРИСНИЦИМА'!$H$4:$H$547)</f>
        <v>0</v>
      </c>
      <c r="D77" s="458">
        <f t="shared" ref="D77:D83" si="4">IFERROR(C77/$C$86,"-")</f>
        <v>0</v>
      </c>
      <c r="E77" s="441">
        <f>SUMIF('ПО КОРИСНИЦИМА'!$F$4:$F$547,'По основ. нам.'!A77,'ПО КОРИСНИЦИМА'!$I$4:$I$547)</f>
        <v>0</v>
      </c>
      <c r="F77" s="444">
        <f t="shared" si="1"/>
        <v>0</v>
      </c>
    </row>
    <row r="78" spans="1:6" ht="21" hidden="1">
      <c r="A78" s="463">
        <v>550</v>
      </c>
      <c r="B78" s="464" t="s">
        <v>3838</v>
      </c>
      <c r="C78" s="462">
        <f>SUM(C79)</f>
        <v>0</v>
      </c>
      <c r="D78" s="465">
        <f t="shared" si="4"/>
        <v>0</v>
      </c>
      <c r="E78" s="462">
        <f>SUM(E79)</f>
        <v>0</v>
      </c>
      <c r="F78" s="437">
        <f>C78+E78</f>
        <v>0</v>
      </c>
    </row>
    <row r="79" spans="1:6" ht="23.25" hidden="1">
      <c r="A79" s="447">
        <v>551</v>
      </c>
      <c r="B79" s="466" t="s">
        <v>3839</v>
      </c>
      <c r="C79" s="441">
        <f>SUMIF('ПО КОРИСНИЦИМА'!$F$4:$F$547,'По основ. нам.'!A79,'ПО КОРИСНИЦИМА'!$H$4:$H$547)</f>
        <v>0</v>
      </c>
      <c r="D79" s="458">
        <f t="shared" si="4"/>
        <v>0</v>
      </c>
      <c r="E79" s="441">
        <f>SUMIF('ПО КОРИСНИЦИМА'!$F$4:$F$547,'По основ. нам.'!A79,'ПО КОРИСНИЦИМА'!$I$4:$I$547)</f>
        <v>0</v>
      </c>
      <c r="F79" s="444">
        <f t="shared" ref="F79:F81" si="5">C79+E79</f>
        <v>0</v>
      </c>
    </row>
    <row r="80" spans="1:6" hidden="1">
      <c r="A80" s="435" t="s">
        <v>3840</v>
      </c>
      <c r="B80" s="436" t="s">
        <v>3841</v>
      </c>
      <c r="C80" s="462">
        <f>SUM(C81:C83)</f>
        <v>0</v>
      </c>
      <c r="D80" s="461">
        <f t="shared" si="4"/>
        <v>0</v>
      </c>
      <c r="E80" s="462">
        <f>SUM(E81:E83)</f>
        <v>0</v>
      </c>
      <c r="F80" s="437">
        <f t="shared" si="5"/>
        <v>0</v>
      </c>
    </row>
    <row r="81" spans="1:6" hidden="1">
      <c r="A81" s="439" t="s">
        <v>3842</v>
      </c>
      <c r="B81" s="440" t="s">
        <v>3843</v>
      </c>
      <c r="C81" s="441">
        <f>SUMIF('ПО КОРИСНИЦИМА'!$F$4:$F$547,'По основ. нам.'!A81,'ПО КОРИСНИЦИМА'!$H$4:$H$547)</f>
        <v>0</v>
      </c>
      <c r="D81" s="458">
        <f t="shared" si="4"/>
        <v>0</v>
      </c>
      <c r="E81" s="441">
        <f>SUMIF('ПО КОРИСНИЦИМА'!$F$4:$F$547,'По основ. нам.'!A81,'ПО КОРИСНИЦИМА'!$I$4:$I$547)</f>
        <v>0</v>
      </c>
      <c r="F81" s="441">
        <f t="shared" si="5"/>
        <v>0</v>
      </c>
    </row>
    <row r="82" spans="1:6" hidden="1">
      <c r="A82" s="467" t="s">
        <v>3844</v>
      </c>
      <c r="B82" s="468" t="s">
        <v>3845</v>
      </c>
      <c r="C82" s="441">
        <f>SUMIF('ПО КОРИСНИЦИМА'!$F$4:$F$547,'По основ. нам.'!A82,'ПО КОРИСНИЦИМА'!$H$4:$H$547)</f>
        <v>0</v>
      </c>
      <c r="D82" s="469">
        <f t="shared" si="4"/>
        <v>0</v>
      </c>
      <c r="E82" s="441">
        <f>SUMIF('ПО КОРИСНИЦИМА'!$F$4:$F$547,'По основ. нам.'!A82,'ПО КОРИСНИЦИМА'!$I$4:$I$547)</f>
        <v>0</v>
      </c>
      <c r="F82" s="444"/>
    </row>
    <row r="83" spans="1:6" hidden="1">
      <c r="A83" s="467" t="s">
        <v>3846</v>
      </c>
      <c r="B83" s="468" t="s">
        <v>86</v>
      </c>
      <c r="C83" s="441">
        <f>SUMIF('ПО КОРИСНИЦИМА'!$F$4:$F$547,'По основ. нам.'!A83,'ПО КОРИСНИЦИМА'!$H$4:$H$547)</f>
        <v>0</v>
      </c>
      <c r="D83" s="469">
        <f t="shared" si="4"/>
        <v>0</v>
      </c>
      <c r="E83" s="441">
        <f>SUMIF('ПО КОРИСНИЦИМА'!$F$4:$F$547,'По основ. нам.'!A83,'ПО КОРИСНИЦИМА'!$I$4:$I$547)</f>
        <v>0</v>
      </c>
      <c r="F83" s="444"/>
    </row>
    <row r="84" spans="1:6" ht="22.5" customHeight="1">
      <c r="A84" s="954" t="s">
        <v>3930</v>
      </c>
      <c r="B84" s="955" t="s">
        <v>4693</v>
      </c>
      <c r="C84" s="956">
        <f>C85</f>
        <v>13700000</v>
      </c>
      <c r="D84" s="957">
        <f>D85</f>
        <v>1.6789215686274509E-2</v>
      </c>
      <c r="E84" s="956"/>
      <c r="F84" s="956"/>
    </row>
    <row r="85" spans="1:6">
      <c r="A85" s="467" t="s">
        <v>3848</v>
      </c>
      <c r="B85" s="468" t="s">
        <v>4694</v>
      </c>
      <c r="C85" s="441">
        <f>'ПО КОРИСНИЦИМА'!H298+'ПО КОРИСНИЦИМА'!H291</f>
        <v>13700000</v>
      </c>
      <c r="D85" s="469">
        <f>C85/C86</f>
        <v>1.6789215686274509E-2</v>
      </c>
      <c r="E85" s="441">
        <v>0</v>
      </c>
      <c r="F85" s="444"/>
    </row>
    <row r="86" spans="1:6">
      <c r="A86" s="470"/>
      <c r="B86" s="471" t="s">
        <v>3849</v>
      </c>
      <c r="C86" s="472">
        <f>SUM(C6,C15,C22,C28,C33,C39,C46,C48,C55,C63,C69,C74,C78,C80,C84)</f>
        <v>816000000</v>
      </c>
      <c r="D86" s="473">
        <f>IFERROR(C86/$C$86,"-")</f>
        <v>1</v>
      </c>
      <c r="E86" s="472">
        <f>SUM(E6,E15,E22,E28,E33,E39,E48,E46,E55,E63,E69,E74,E78,E80,E84)</f>
        <v>218700000</v>
      </c>
      <c r="F86" s="474">
        <f>C86+E86</f>
        <v>1034700000</v>
      </c>
    </row>
    <row r="87" spans="1:6">
      <c r="A87" s="123"/>
      <c r="B87" s="123"/>
      <c r="C87" s="124" t="e">
        <f>C86-'ПО КОРИСНИЦИМА'!#REF!</f>
        <v>#REF!</v>
      </c>
      <c r="D87" s="123"/>
      <c r="E87" s="124" t="e">
        <f>E86-'ПО КОРИСНИЦИМА'!#REF!</f>
        <v>#REF!</v>
      </c>
      <c r="F87" s="124" t="e">
        <f>Ukupno_izdaci-'ПО КОРИСНИЦИМА'!#REF!</f>
        <v>#REF!</v>
      </c>
    </row>
  </sheetData>
  <mergeCells count="1">
    <mergeCell ref="A1:E1"/>
  </mergeCells>
  <conditionalFormatting sqref="C87 E87:F87">
    <cfRule type="cellIs" dxfId="3" priority="5" stopIfTrue="1" operator="notEqual">
      <formula>0</formula>
    </cfRule>
  </conditionalFormatting>
  <conditionalFormatting sqref="C7:C14 C16:C21 C23:C27 C29:C32 C34:C38 C40:C45 C47 C49:C54 C64:C68 C70:C73 C75:C77 C79 C81:C85 E7:E14 E16:E21 E23:E27 E29:E32 E34:E38 E40:E45 E47 E49:E54 E64:E68 E70:E73 E75:E77 E79 E81:E85 C56:C62 E56:E62">
    <cfRule type="expression" priority="4" stopIfTrue="1">
      <formula>NOT(ISERROR(SEARCH("411",C7)))</formula>
    </cfRule>
  </conditionalFormatting>
  <conditionalFormatting sqref="C87:F87">
    <cfRule type="cellIs" dxfId="2" priority="1" operator="notEqual">
      <formula>0</formula>
    </cfRule>
  </conditionalFormatting>
  <dataValidations count="2">
    <dataValidation type="whole" errorStyle="warning" operator="equal" allowBlank="1" showInputMessage="1" showErrorMessage="1" errorTitle="Упозорење" error="Дошло је до грешке приликом преузимања података у табели &quot;По основ.нам.&quot;" sqref="C87">
      <formula1>0</formula1>
    </dataValidation>
    <dataValidation type="whole" errorStyle="warning" operator="equal" allowBlank="1" showInputMessage="1" showErrorMessage="1" errorTitle="Упозорење" error="Дошло је до грешке приликом преузимања података у табели &quot;По основ.наменама&quot;. Пжљиво проверите збир код осталих извора као и шифре економ. класифкација" sqref="E87">
      <formula1>0</formula1>
    </dataValidation>
  </dataValidations>
  <pageMargins left="0.36" right="0.24" top="0.75" bottom="0.75" header="0.3" footer="0.3"/>
  <pageSetup orientation="portrait" r:id="rId1"/>
  <cellWatches>
    <cellWatch r="C87"/>
  </cellWatches>
  <drawing r:id="rId2"/>
</worksheet>
</file>

<file path=xl/worksheets/sheet6.xml><?xml version="1.0" encoding="utf-8"?>
<worksheet xmlns="http://schemas.openxmlformats.org/spreadsheetml/2006/main" xmlns:r="http://schemas.openxmlformats.org/officeDocument/2006/relationships">
  <sheetPr>
    <tabColor theme="1"/>
  </sheetPr>
  <dimension ref="A1:H361"/>
  <sheetViews>
    <sheetView workbookViewId="0">
      <selection activeCell="A2" sqref="A2:G341"/>
    </sheetView>
  </sheetViews>
  <sheetFormatPr defaultRowHeight="15"/>
  <cols>
    <col min="1" max="1" width="8" style="88" customWidth="1"/>
    <col min="2" max="2" width="11.7109375" style="88" customWidth="1"/>
    <col min="3" max="3" width="45.85546875" style="219" customWidth="1"/>
    <col min="4" max="4" width="15.140625" style="282" customWidth="1"/>
    <col min="5" max="5" width="7.85546875" style="88" customWidth="1"/>
    <col min="6" max="6" width="16.42578125" style="88" customWidth="1"/>
    <col min="7" max="7" width="15.5703125" style="282" customWidth="1"/>
    <col min="8" max="8" width="15.5703125" style="88" customWidth="1"/>
    <col min="9" max="9" width="9.140625" style="88" customWidth="1"/>
    <col min="10" max="16384" width="9.140625" style="88"/>
  </cols>
  <sheetData>
    <row r="1" spans="1:8" ht="15" customHeight="1">
      <c r="A1" s="1169" t="s">
        <v>3966</v>
      </c>
      <c r="B1" s="1169"/>
      <c r="C1" s="1169"/>
      <c r="D1" s="1169"/>
      <c r="E1" s="1169"/>
      <c r="F1" s="1169"/>
      <c r="G1" s="1169"/>
      <c r="H1" s="1169"/>
    </row>
    <row r="2" spans="1:8" ht="15" customHeight="1">
      <c r="A2" s="1170" t="s">
        <v>3601</v>
      </c>
      <c r="B2" s="1171"/>
      <c r="C2" s="1167" t="s">
        <v>4009</v>
      </c>
      <c r="D2" s="1172" t="s">
        <v>23</v>
      </c>
      <c r="E2" s="1167" t="s">
        <v>3677</v>
      </c>
      <c r="F2" s="1167" t="s">
        <v>4567</v>
      </c>
      <c r="G2" s="1168" t="s">
        <v>3754</v>
      </c>
      <c r="H2" s="1167" t="s">
        <v>4022</v>
      </c>
    </row>
    <row r="3" spans="1:8" ht="36" customHeight="1">
      <c r="A3" s="89" t="s">
        <v>3967</v>
      </c>
      <c r="B3" s="89" t="s">
        <v>4008</v>
      </c>
      <c r="C3" s="1167"/>
      <c r="D3" s="1172"/>
      <c r="E3" s="1167"/>
      <c r="F3" s="1167"/>
      <c r="G3" s="1168"/>
      <c r="H3" s="1167"/>
    </row>
    <row r="4" spans="1:8">
      <c r="A4" s="90" t="s">
        <v>3755</v>
      </c>
      <c r="B4" s="90" t="s">
        <v>3968</v>
      </c>
      <c r="C4" s="90" t="s">
        <v>4021</v>
      </c>
      <c r="D4" s="303">
        <v>4</v>
      </c>
      <c r="E4" s="304">
        <v>5</v>
      </c>
      <c r="F4" s="304">
        <v>6</v>
      </c>
      <c r="G4" s="303">
        <v>7</v>
      </c>
      <c r="H4" s="205">
        <v>8</v>
      </c>
    </row>
    <row r="5" spans="1:8">
      <c r="A5" s="229" t="s">
        <v>3556</v>
      </c>
      <c r="B5" s="230"/>
      <c r="C5" s="260" t="s">
        <v>4488</v>
      </c>
      <c r="D5" s="284">
        <f>SUM(D6:D33)</f>
        <v>7700000</v>
      </c>
      <c r="E5" s="285">
        <f>IFERROR(D5/$D$341,"-")</f>
        <v>9.436274509803921E-3</v>
      </c>
      <c r="F5" s="286">
        <f>SUM(F6:F33)</f>
        <v>0</v>
      </c>
      <c r="G5" s="284">
        <f>D5+F5</f>
        <v>7700000</v>
      </c>
      <c r="H5" s="287"/>
    </row>
    <row r="6" spans="1:8">
      <c r="A6" s="227"/>
      <c r="B6" s="227" t="s">
        <v>4054</v>
      </c>
      <c r="C6" s="261" t="s">
        <v>4349</v>
      </c>
      <c r="D6" s="288">
        <f>SUMIF('ПО КОРИСНИЦИМА'!$C$3:$C$547,B6,'ПО КОРИСНИЦИМА'!$H$3:$H$547)</f>
        <v>7700000</v>
      </c>
      <c r="E6" s="289">
        <f>IFERROR(D6/$D$341,"-")</f>
        <v>9.436274509803921E-3</v>
      </c>
      <c r="F6" s="413">
        <f>SUMIF('ПО КОРИСНИЦИМА'!$C$3:$C$547,B6,'ПО КОРИСНИЦИМА'!$I$3:$I$547)</f>
        <v>0</v>
      </c>
      <c r="G6" s="288">
        <f>D6+F6</f>
        <v>7700000</v>
      </c>
      <c r="H6" s="290"/>
    </row>
    <row r="7" spans="1:8" hidden="1">
      <c r="A7" s="91"/>
      <c r="B7" s="91" t="s">
        <v>4055</v>
      </c>
      <c r="C7" s="262" t="s">
        <v>4411</v>
      </c>
      <c r="D7" s="288">
        <f>SUMIF('ПО КОРИСНИЦИМА'!$C$3:$C$547,B7,'ПО КОРИСНИЦИМА'!$H$3:$H$547)</f>
        <v>0</v>
      </c>
      <c r="E7" s="292">
        <f>IFERROR(D7/$D$341,"-")</f>
        <v>0</v>
      </c>
      <c r="F7" s="413">
        <f>SUMIF('ПО КОРИСНИЦИМА'!$C$3:$C$547,B7,'ПО КОРИСНИЦИМА'!$I$3:$I$547)</f>
        <v>0</v>
      </c>
      <c r="G7" s="291">
        <f t="shared" ref="G7:G122" si="0">D7+F7</f>
        <v>0</v>
      </c>
      <c r="H7" s="294"/>
    </row>
    <row r="8" spans="1:8" hidden="1">
      <c r="A8" s="91"/>
      <c r="B8" s="227" t="s">
        <v>4395</v>
      </c>
      <c r="C8" s="262" t="s">
        <v>4396</v>
      </c>
      <c r="D8" s="288">
        <f>SUMIF('ПО КОРИСНИЦИМА'!$C$3:$C$547,B8,'ПО КОРИСНИЦИМА'!$H$3:$H$547)</f>
        <v>0</v>
      </c>
      <c r="E8" s="292"/>
      <c r="F8" s="413">
        <f>SUMIF('ПО КОРИСНИЦИМА'!$C$3:$C$547,B8,'ПО КОРИСНИЦИМА'!$I$3:$I$547)</f>
        <v>0</v>
      </c>
      <c r="G8" s="288">
        <f>D8+F8</f>
        <v>0</v>
      </c>
      <c r="H8" s="293"/>
    </row>
    <row r="9" spans="1:8" hidden="1">
      <c r="A9" s="91"/>
      <c r="B9" s="91" t="s">
        <v>4351</v>
      </c>
      <c r="C9" s="262" t="s">
        <v>4486</v>
      </c>
      <c r="D9" s="288">
        <f>SUMIF('ПО КОРИСНИЦИМА'!$C$3:$C$547,B9,'ПО КОРИСНИЦИМА'!$H$3:$H$547)</f>
        <v>0</v>
      </c>
      <c r="E9" s="292"/>
      <c r="F9" s="413">
        <f>SUMIF('ПО КОРИСНИЦИМА'!$C$3:$C$547,B9,'ПО КОРИСНИЦИМА'!$I$3:$I$547)</f>
        <v>0</v>
      </c>
      <c r="G9" s="291">
        <f t="shared" si="0"/>
        <v>0</v>
      </c>
      <c r="H9" s="293"/>
    </row>
    <row r="10" spans="1:8" hidden="1">
      <c r="A10" s="91"/>
      <c r="B10" s="91" t="s">
        <v>4489</v>
      </c>
      <c r="C10" s="628" t="s">
        <v>4490</v>
      </c>
      <c r="D10" s="288">
        <f>SUMIF('ПО КОРИСНИЦИМА'!$C$3:$C$547,B10,'ПО КОРИСНИЦИМА'!$H$3:$H$547)</f>
        <v>0</v>
      </c>
      <c r="E10" s="292">
        <f>IFERROR(D10/$D$341,"-")</f>
        <v>0</v>
      </c>
      <c r="F10" s="413">
        <f>SUMIF('ПО КОРИСНИЦИМА'!$C$3:$C$547,B10,'ПО КОРИСНИЦИМА'!$I$3:$I$547)</f>
        <v>0</v>
      </c>
      <c r="G10" s="291">
        <f t="shared" si="0"/>
        <v>0</v>
      </c>
      <c r="H10" s="294"/>
    </row>
    <row r="11" spans="1:8" hidden="1">
      <c r="A11" s="91"/>
      <c r="B11" s="91" t="s">
        <v>4056</v>
      </c>
      <c r="C11" s="262" t="str">
        <f>IFERROR(VLOOKUP(B11,'ПО КОРИСНИЦИМА'!$C$3:$J$508,5,FALSE),"")</f>
        <v/>
      </c>
      <c r="D11" s="288">
        <f>SUMIF('ПО КОРИСНИЦИМА'!$C$3:$C$547,B11,'ПО КОРИСНИЦИМА'!$H$3:$H$547)</f>
        <v>0</v>
      </c>
      <c r="E11" s="292">
        <f t="shared" ref="E11:E33" si="1">IFERROR(D11/$D$341,"-")</f>
        <v>0</v>
      </c>
      <c r="F11" s="413">
        <f>SUMIF('ПО КОРИСНИЦИМА'!$C$3:$C$547,B11,'ПО КОРИСНИЦИМА'!$I$3:$I$547)</f>
        <v>0</v>
      </c>
      <c r="G11" s="291">
        <f t="shared" si="0"/>
        <v>0</v>
      </c>
      <c r="H11" s="293"/>
    </row>
    <row r="12" spans="1:8" hidden="1">
      <c r="A12" s="91"/>
      <c r="B12" s="91" t="s">
        <v>4057</v>
      </c>
      <c r="C12" s="262" t="str">
        <f>IFERROR(VLOOKUP(B12,'ПО КОРИСНИЦИМА'!$C$3:$J$508,5,FALSE),"")</f>
        <v/>
      </c>
      <c r="D12" s="288">
        <f>SUMIF('ПО КОРИСНИЦИМА'!$C$3:$C$547,B12,'ПО КОРИСНИЦИМА'!$H$3:$H$547)</f>
        <v>0</v>
      </c>
      <c r="E12" s="292">
        <f t="shared" si="1"/>
        <v>0</v>
      </c>
      <c r="F12" s="413">
        <f>SUMIF('ПО КОРИСНИЦИМА'!$C$3:$C$547,B12,'ПО КОРИСНИЦИМА'!$I$3:$I$547)</f>
        <v>0</v>
      </c>
      <c r="G12" s="291">
        <f t="shared" si="0"/>
        <v>0</v>
      </c>
      <c r="H12" s="293"/>
    </row>
    <row r="13" spans="1:8" hidden="1">
      <c r="A13" s="91"/>
      <c r="B13" s="91" t="s">
        <v>4058</v>
      </c>
      <c r="C13" s="262" t="str">
        <f>IFERROR(VLOOKUP(B13,'ПО КОРИСНИЦИМА'!$C$3:$J$508,5,FALSE),"")</f>
        <v/>
      </c>
      <c r="D13" s="280">
        <f>SUMIF('ПО КОРИСНИЦИМА'!$G$3:$G$508,"Свега за пројекат 1101-П4:",'ПО КОРИСНИЦИМА'!$H$3:$H$508)</f>
        <v>0</v>
      </c>
      <c r="E13" s="292">
        <f t="shared" si="1"/>
        <v>0</v>
      </c>
      <c r="F13" s="92">
        <f>SUMIF('ПО КОРИСНИЦИМА'!$G$3:$G$508,"Свега за пројекат 1101-П4:",'ПО КОРИСНИЦИМА'!$I$3:$I$508)</f>
        <v>0</v>
      </c>
      <c r="G13" s="291">
        <f t="shared" si="0"/>
        <v>0</v>
      </c>
      <c r="H13" s="293"/>
    </row>
    <row r="14" spans="1:8" hidden="1">
      <c r="A14" s="91"/>
      <c r="B14" s="91" t="s">
        <v>4059</v>
      </c>
      <c r="C14" s="262" t="str">
        <f>IFERROR(VLOOKUP(B14,'ПО КОРИСНИЦИМА'!$C$3:$J$508,5,FALSE),"")</f>
        <v/>
      </c>
      <c r="D14" s="280">
        <f>SUMIF('ПО КОРИСНИЦИМА'!$G$3:$G$508,"Свега за пројекат 1101-П5:",'ПО КОРИСНИЦИМА'!$H$3:$H$508)</f>
        <v>0</v>
      </c>
      <c r="E14" s="292">
        <f t="shared" si="1"/>
        <v>0</v>
      </c>
      <c r="F14" s="92">
        <f>SUMIF('ПО КОРИСНИЦИМА'!$G$3:$G$508,"Свега за пројекат 1101-П5:",'ПО КОРИСНИЦИМА'!$I$3:$I$508)</f>
        <v>0</v>
      </c>
      <c r="G14" s="291">
        <f t="shared" si="0"/>
        <v>0</v>
      </c>
      <c r="H14" s="293"/>
    </row>
    <row r="15" spans="1:8" hidden="1">
      <c r="A15" s="91"/>
      <c r="B15" s="91" t="s">
        <v>4060</v>
      </c>
      <c r="C15" s="262" t="str">
        <f>IFERROR(VLOOKUP(B15,'ПО КОРИСНИЦИМА'!$C$3:$J$508,5,FALSE),"")</f>
        <v/>
      </c>
      <c r="D15" s="280">
        <f>SUMIF('ПО КОРИСНИЦИМА'!$G$3:$G$508,"Свега за пројекат 1101-П6:",'ПО КОРИСНИЦИМА'!$H$3:$H$508)</f>
        <v>0</v>
      </c>
      <c r="E15" s="292">
        <f t="shared" si="1"/>
        <v>0</v>
      </c>
      <c r="F15" s="92">
        <f>SUMIF('ПО КОРИСНИЦИМА'!$G$3:$G$508,"Свега за пројекат 1101-П6:",'ПО КОРИСНИЦИМА'!$I$3:$I$508)</f>
        <v>0</v>
      </c>
      <c r="G15" s="291">
        <f t="shared" si="0"/>
        <v>0</v>
      </c>
      <c r="H15" s="293"/>
    </row>
    <row r="16" spans="1:8" hidden="1">
      <c r="A16" s="91"/>
      <c r="B16" s="91" t="s">
        <v>4061</v>
      </c>
      <c r="C16" s="262" t="str">
        <f>IFERROR(VLOOKUP(B16,'ПО КОРИСНИЦИМА'!$C$3:$J$508,5,FALSE),"")</f>
        <v/>
      </c>
      <c r="D16" s="280">
        <f>SUMIF('ПО КОРИСНИЦИМА'!$G$3:$G$508,"Свега за пројекат 1101-П7:",'ПО КОРИСНИЦИМА'!$H$3:$H$508)</f>
        <v>0</v>
      </c>
      <c r="E16" s="292">
        <f t="shared" si="1"/>
        <v>0</v>
      </c>
      <c r="F16" s="92">
        <f>SUMIF('ПО КОРИСНИЦИМА'!$G$3:$G$508,"Свега за пројекат 1101-П7:",'ПО КОРИСНИЦИМА'!$I$3:$I$508)</f>
        <v>0</v>
      </c>
      <c r="G16" s="291">
        <f t="shared" si="0"/>
        <v>0</v>
      </c>
      <c r="H16" s="293"/>
    </row>
    <row r="17" spans="1:8" hidden="1">
      <c r="A17" s="91"/>
      <c r="B17" s="91" t="s">
        <v>4062</v>
      </c>
      <c r="C17" s="262" t="str">
        <f>IFERROR(VLOOKUP(B17,'ПО КОРИСНИЦИМА'!$C$3:$J$508,5,FALSE),"")</f>
        <v/>
      </c>
      <c r="D17" s="280">
        <f>SUMIF('ПО КОРИСНИЦИМА'!$G$3:$G$508,"Свега за пројекат 1101-П8:",'ПО КОРИСНИЦИМА'!$H$3:$H$508)</f>
        <v>0</v>
      </c>
      <c r="E17" s="292">
        <f t="shared" si="1"/>
        <v>0</v>
      </c>
      <c r="F17" s="92">
        <f>SUMIF('ПО КОРИСНИЦИМА'!$G$3:$G$508,"Свега за пројекат 1101-П8:",'ПО КОРИСНИЦИМА'!$I$3:$I$508)</f>
        <v>0</v>
      </c>
      <c r="G17" s="291">
        <f t="shared" si="0"/>
        <v>0</v>
      </c>
      <c r="H17" s="293"/>
    </row>
    <row r="18" spans="1:8" hidden="1">
      <c r="A18" s="91"/>
      <c r="B18" s="91" t="s">
        <v>4063</v>
      </c>
      <c r="C18" s="262" t="str">
        <f>IFERROR(VLOOKUP(B18,'ПО КОРИСНИЦИМА'!$C$3:$J$508,5,FALSE),"")</f>
        <v/>
      </c>
      <c r="D18" s="280">
        <f>SUMIF('ПО КОРИСНИЦИМА'!$G$3:$G$508,"Свега за пројекат 1101-П9:",'ПО КОРИСНИЦИМА'!$H$3:$H$508)</f>
        <v>0</v>
      </c>
      <c r="E18" s="292">
        <f t="shared" si="1"/>
        <v>0</v>
      </c>
      <c r="F18" s="92">
        <f>SUMIF('ПО КОРИСНИЦИМА'!$G$3:$G$508,"Свега за пројекат 1101-П9:",'ПО КОРИСНИЦИМА'!$I$3:$I$508)</f>
        <v>0</v>
      </c>
      <c r="G18" s="291">
        <f t="shared" si="0"/>
        <v>0</v>
      </c>
      <c r="H18" s="293"/>
    </row>
    <row r="19" spans="1:8" hidden="1">
      <c r="A19" s="91"/>
      <c r="B19" s="91" t="s">
        <v>4064</v>
      </c>
      <c r="C19" s="262" t="str">
        <f>IFERROR(VLOOKUP(B19,'ПО КОРИСНИЦИМА'!$C$3:$J$508,5,FALSE),"")</f>
        <v/>
      </c>
      <c r="D19" s="280">
        <f>SUMIF('ПО КОРИСНИЦИМА'!$G$3:$G$508,"Свега за пројекат 1101-П10:",'ПО КОРИСНИЦИМА'!$H$3:$H$508)</f>
        <v>0</v>
      </c>
      <c r="E19" s="292">
        <f t="shared" si="1"/>
        <v>0</v>
      </c>
      <c r="F19" s="92">
        <f>SUMIF('ПО КОРИСНИЦИМА'!$G$3:$G$508,"Свега за пројекат 1101-П10:",'ПО КОРИСНИЦИМА'!$I$3:$I$508)</f>
        <v>0</v>
      </c>
      <c r="G19" s="291">
        <f t="shared" si="0"/>
        <v>0</v>
      </c>
      <c r="H19" s="293"/>
    </row>
    <row r="20" spans="1:8" hidden="1">
      <c r="A20" s="91"/>
      <c r="B20" s="91" t="s">
        <v>4065</v>
      </c>
      <c r="C20" s="262" t="str">
        <f>IFERROR(VLOOKUP(B20,'ПО КОРИСНИЦИМА'!$C$3:$J$508,5,FALSE),"")</f>
        <v/>
      </c>
      <c r="D20" s="280">
        <f>SUMIF('ПО КОРИСНИЦИМА'!$G$3:$G$508,"Свега за пројекат 1101-П11:",'ПО КОРИСНИЦИМА'!$H$3:$H$508)</f>
        <v>0</v>
      </c>
      <c r="E20" s="292">
        <f t="shared" si="1"/>
        <v>0</v>
      </c>
      <c r="F20" s="92">
        <f>SUMIF('ПО КОРИСНИЦИМА'!$G$3:$G$508,"Свега за пројекат 1101-П11:",'ПО КОРИСНИЦИМА'!$I$3:$I$508)</f>
        <v>0</v>
      </c>
      <c r="G20" s="291">
        <f t="shared" si="0"/>
        <v>0</v>
      </c>
      <c r="H20" s="293"/>
    </row>
    <row r="21" spans="1:8" hidden="1">
      <c r="A21" s="91"/>
      <c r="B21" s="91" t="s">
        <v>4066</v>
      </c>
      <c r="C21" s="262" t="str">
        <f>IFERROR(VLOOKUP(B21,'ПО КОРИСНИЦИМА'!$C$3:$J$508,5,FALSE),"")</f>
        <v/>
      </c>
      <c r="D21" s="280">
        <f>SUMIF('ПО КОРИСНИЦИМА'!$G$3:$G$508,"Свега за пројекат 1101-П12:",'ПО КОРИСНИЦИМА'!$H$3:$H$508)</f>
        <v>0</v>
      </c>
      <c r="E21" s="292">
        <f t="shared" si="1"/>
        <v>0</v>
      </c>
      <c r="F21" s="92">
        <f>SUMIF('ПО КОРИСНИЦИМА'!$G$3:$G$508,"Свега за пројекат 1101-П12:",'ПО КОРИСНИЦИМА'!$I$3:$I$508)</f>
        <v>0</v>
      </c>
      <c r="G21" s="291">
        <f t="shared" si="0"/>
        <v>0</v>
      </c>
      <c r="H21" s="293"/>
    </row>
    <row r="22" spans="1:8" hidden="1">
      <c r="A22" s="91"/>
      <c r="B22" s="91" t="s">
        <v>4067</v>
      </c>
      <c r="C22" s="262" t="str">
        <f>IFERROR(VLOOKUP(B22,'ПО КОРИСНИЦИМА'!$C$3:$J$508,5,FALSE),"")</f>
        <v/>
      </c>
      <c r="D22" s="280">
        <f>SUMIF('ПО КОРИСНИЦИМА'!$G$3:$G$508,"Свега за пројекат 1101-П13:",'ПО КОРИСНИЦИМА'!$H$3:$H$508)</f>
        <v>0</v>
      </c>
      <c r="E22" s="292">
        <f t="shared" si="1"/>
        <v>0</v>
      </c>
      <c r="F22" s="92">
        <f>SUMIF('ПО КОРИСНИЦИМА'!$G$3:$G$508,"Свега за пројекат 1101-П13:",'ПО КОРИСНИЦИМА'!$I$3:$I$508)</f>
        <v>0</v>
      </c>
      <c r="G22" s="291">
        <f t="shared" si="0"/>
        <v>0</v>
      </c>
      <c r="H22" s="293"/>
    </row>
    <row r="23" spans="1:8" hidden="1">
      <c r="A23" s="91"/>
      <c r="B23" s="91" t="s">
        <v>4068</v>
      </c>
      <c r="C23" s="262" t="str">
        <f>IFERROR(VLOOKUP(B23,'ПО КОРИСНИЦИМА'!$C$3:$J$508,5,FALSE),"")</f>
        <v/>
      </c>
      <c r="D23" s="280">
        <f>SUMIF('ПО КОРИСНИЦИМА'!$G$3:$G$508,"Свега за пројекат 1101-П14:",'ПО КОРИСНИЦИМА'!$H$3:$H$508)</f>
        <v>0</v>
      </c>
      <c r="E23" s="292">
        <f t="shared" si="1"/>
        <v>0</v>
      </c>
      <c r="F23" s="92">
        <f>SUMIF('ПО КОРИСНИЦИМА'!$G$3:$G$508,"Свега за пројекат 1101-П14:",'ПО КОРИСНИЦИМА'!$I$3:$I$508)</f>
        <v>0</v>
      </c>
      <c r="G23" s="291">
        <f t="shared" si="0"/>
        <v>0</v>
      </c>
      <c r="H23" s="294"/>
    </row>
    <row r="24" spans="1:8" hidden="1">
      <c r="A24" s="91"/>
      <c r="B24" s="91" t="s">
        <v>4069</v>
      </c>
      <c r="C24" s="262" t="str">
        <f>IFERROR(VLOOKUP(B24,'ПО КОРИСНИЦИМА'!$C$3:$J$508,5,FALSE),"")</f>
        <v/>
      </c>
      <c r="D24" s="280">
        <f>SUMIF('ПО КОРИСНИЦИМА'!$G$3:$G$508,"Свега за пројекат 1101-П15:",'ПО КОРИСНИЦИМА'!$H$3:$H$508)</f>
        <v>0</v>
      </c>
      <c r="E24" s="292">
        <f t="shared" si="1"/>
        <v>0</v>
      </c>
      <c r="F24" s="92">
        <f>SUMIF('ПО КОРИСНИЦИМА'!$G$3:$G$508,"Свега за пројекат 1101-П15:",'ПО КОРИСНИЦИМА'!$I$3:$I$508)</f>
        <v>0</v>
      </c>
      <c r="G24" s="291">
        <f t="shared" si="0"/>
        <v>0</v>
      </c>
      <c r="H24" s="294"/>
    </row>
    <row r="25" spans="1:8" hidden="1">
      <c r="A25" s="226"/>
      <c r="B25" s="91" t="s">
        <v>4070</v>
      </c>
      <c r="C25" s="262" t="str">
        <f>IFERROR(VLOOKUP(B25,'ПО КОРИСНИЦИМА'!$C$3:$J$508,5,FALSE),"")</f>
        <v/>
      </c>
      <c r="D25" s="280">
        <f>SUMIF('ПО КОРИСНИЦИМА'!$G$3:$G$508,"Свега за пројекат 1101-П16:",'ПО КОРИСНИЦИМА'!$H$3:$H$508)</f>
        <v>0</v>
      </c>
      <c r="E25" s="292">
        <f t="shared" si="1"/>
        <v>0</v>
      </c>
      <c r="F25" s="92">
        <f>SUMIF('ПО КОРИСНИЦИМА'!$G$3:$G$508,"Свега за пројекат 1101-П16:",'ПО КОРИСНИЦИМА'!$I$3:$I$508)</f>
        <v>0</v>
      </c>
      <c r="G25" s="291">
        <f t="shared" si="0"/>
        <v>0</v>
      </c>
      <c r="H25" s="295"/>
    </row>
    <row r="26" spans="1:8" hidden="1">
      <c r="A26" s="257"/>
      <c r="B26" s="91" t="s">
        <v>4071</v>
      </c>
      <c r="C26" s="262" t="str">
        <f>IFERROR(VLOOKUP(B26,'ПО КОРИСНИЦИМА'!$C$3:$J$508,5,FALSE),"")</f>
        <v/>
      </c>
      <c r="D26" s="280">
        <f>SUMIF('ПО КОРИСНИЦИМА'!$G$3:$G$508,"Свега за пројекат 1101-П17:",'ПО КОРИСНИЦИМА'!$H$3:$H$508)</f>
        <v>0</v>
      </c>
      <c r="E26" s="292">
        <f t="shared" si="1"/>
        <v>0</v>
      </c>
      <c r="F26" s="92">
        <f>SUMIF('ПО КОРИСНИЦИМА'!$G$3:$G$508,"Свега за пројекат 1101-П17:",'ПО КОРИСНИЦИМА'!$I$3:$I$508)</f>
        <v>0</v>
      </c>
      <c r="G26" s="291">
        <f t="shared" si="0"/>
        <v>0</v>
      </c>
      <c r="H26" s="296"/>
    </row>
    <row r="27" spans="1:8" hidden="1">
      <c r="A27" s="257"/>
      <c r="B27" s="91" t="s">
        <v>4072</v>
      </c>
      <c r="C27" s="262" t="str">
        <f>IFERROR(VLOOKUP(B27,'ПО КОРИСНИЦИМА'!$C$3:$J$508,5,FALSE),"")</f>
        <v/>
      </c>
      <c r="D27" s="280">
        <f>SUMIF('ПО КОРИСНИЦИМА'!$G$3:$G$508,"Свега за пројекат 1101-П18:",'ПО КОРИСНИЦИМА'!$H$3:$H$508)</f>
        <v>0</v>
      </c>
      <c r="E27" s="292">
        <f t="shared" si="1"/>
        <v>0</v>
      </c>
      <c r="F27" s="92">
        <f>SUMIF('ПО КОРИСНИЦИМА'!$G$3:$G$508,"Свега за пројекат 1101-П18:",'ПО КОРИСНИЦИМА'!$I$3:$I$508)</f>
        <v>0</v>
      </c>
      <c r="G27" s="291">
        <f t="shared" si="0"/>
        <v>0</v>
      </c>
      <c r="H27" s="296"/>
    </row>
    <row r="28" spans="1:8" hidden="1">
      <c r="A28" s="257"/>
      <c r="B28" s="91" t="s">
        <v>4073</v>
      </c>
      <c r="C28" s="262" t="str">
        <f>IFERROR(VLOOKUP(B28,'ПО КОРИСНИЦИМА'!$C$3:$J$508,5,FALSE),"")</f>
        <v/>
      </c>
      <c r="D28" s="280">
        <f>SUMIF('ПО КОРИСНИЦИМА'!$G$3:$G$508,"Свега за пројекат 1101-П19:",'ПО КОРИСНИЦИМА'!$H$3:$H$508)</f>
        <v>0</v>
      </c>
      <c r="E28" s="292">
        <f t="shared" si="1"/>
        <v>0</v>
      </c>
      <c r="F28" s="92">
        <f>SUMIF('ПО КОРИСНИЦИМА'!$G$3:$G$508,"Свега за пројекат 1101-П19:",'ПО КОРИСНИЦИМА'!$I$3:$I$508)</f>
        <v>0</v>
      </c>
      <c r="G28" s="291">
        <f t="shared" si="0"/>
        <v>0</v>
      </c>
      <c r="H28" s="296"/>
    </row>
    <row r="29" spans="1:8" hidden="1">
      <c r="A29" s="257"/>
      <c r="B29" s="91" t="s">
        <v>4074</v>
      </c>
      <c r="C29" s="262" t="str">
        <f>IFERROR(VLOOKUP(B29,'ПО КОРИСНИЦИМА'!$C$3:$J$508,5,FALSE),"")</f>
        <v/>
      </c>
      <c r="D29" s="280">
        <f>SUMIF('ПО КОРИСНИЦИМА'!$G$3:$G$508,"Свега за пројекат 1101-П20:",'ПО КОРИСНИЦИМА'!$H$3:$H$508)</f>
        <v>0</v>
      </c>
      <c r="E29" s="292">
        <f t="shared" si="1"/>
        <v>0</v>
      </c>
      <c r="F29" s="92">
        <f>SUMIF('ПО КОРИСНИЦИМА'!$G$3:$G$508,"Свега за пројекат 1101-П20:",'ПО КОРИСНИЦИМА'!$I$3:$I$508)</f>
        <v>0</v>
      </c>
      <c r="G29" s="291">
        <f t="shared" si="0"/>
        <v>0</v>
      </c>
      <c r="H29" s="296"/>
    </row>
    <row r="30" spans="1:8" hidden="1">
      <c r="A30" s="257"/>
      <c r="B30" s="91" t="s">
        <v>4075</v>
      </c>
      <c r="C30" s="262" t="str">
        <f>IFERROR(VLOOKUP(B30,'ПО КОРИСНИЦИМА'!$C$3:$J$508,5,FALSE),"")</f>
        <v/>
      </c>
      <c r="D30" s="280">
        <f>SUMIF('ПО КОРИСНИЦИМА'!$G$3:$G$508,"Свега за пројекат 1101-П21:",'ПО КОРИСНИЦИМА'!$H$3:$H$508)</f>
        <v>0</v>
      </c>
      <c r="E30" s="292">
        <f t="shared" si="1"/>
        <v>0</v>
      </c>
      <c r="F30" s="92">
        <f>SUMIF('ПО КОРИСНИЦИМА'!$G$3:$G$508,"Свега за пројекат 1101-П21:",'ПО КОРИСНИЦИМА'!$I$3:$I$508)</f>
        <v>0</v>
      </c>
      <c r="G30" s="291">
        <f t="shared" si="0"/>
        <v>0</v>
      </c>
      <c r="H30" s="296"/>
    </row>
    <row r="31" spans="1:8" hidden="1">
      <c r="A31" s="257"/>
      <c r="B31" s="91" t="s">
        <v>4076</v>
      </c>
      <c r="C31" s="262" t="str">
        <f>IFERROR(VLOOKUP(B31,'ПО КОРИСНИЦИМА'!$C$3:$J$508,5,FALSE),"")</f>
        <v/>
      </c>
      <c r="D31" s="280">
        <f>SUMIF('ПО КОРИСНИЦИМА'!$G$3:$G$508,"Свега за пројекат 1101-П22:",'ПО КОРИСНИЦИМА'!$H$3:$H$508)</f>
        <v>0</v>
      </c>
      <c r="E31" s="292">
        <f t="shared" si="1"/>
        <v>0</v>
      </c>
      <c r="F31" s="92">
        <f>SUMIF('ПО КОРИСНИЦИМА'!$G$3:$G$508,"Свега за пројекат 1101-П22:",'ПО КОРИСНИЦИМА'!$I$3:$I$508)</f>
        <v>0</v>
      </c>
      <c r="G31" s="291">
        <f t="shared" si="0"/>
        <v>0</v>
      </c>
      <c r="H31" s="296"/>
    </row>
    <row r="32" spans="1:8" hidden="1">
      <c r="A32" s="257"/>
      <c r="B32" s="91" t="s">
        <v>4077</v>
      </c>
      <c r="C32" s="262" t="str">
        <f>IFERROR(VLOOKUP(B32,'ПО КОРИСНИЦИМА'!$C$3:$J$508,5,FALSE),"")</f>
        <v/>
      </c>
      <c r="D32" s="280">
        <f>SUMIF('ПО КОРИСНИЦИМА'!$G$3:$G$508,"Свега за пројекат 1101-П23:",'ПО КОРИСНИЦИМА'!$H$3:$H$508)</f>
        <v>0</v>
      </c>
      <c r="E32" s="292">
        <f t="shared" si="1"/>
        <v>0</v>
      </c>
      <c r="F32" s="92">
        <f>SUMIF('ПО КОРИСНИЦИМА'!$G$3:$G$508,"Свега за пројекат 1101-П23:",'ПО КОРИСНИЦИМА'!$I$3:$I$508)</f>
        <v>0</v>
      </c>
      <c r="G32" s="291">
        <f t="shared" si="0"/>
        <v>0</v>
      </c>
      <c r="H32" s="296"/>
    </row>
    <row r="33" spans="1:8" hidden="1">
      <c r="A33" s="257"/>
      <c r="B33" s="91" t="s">
        <v>4078</v>
      </c>
      <c r="C33" s="262" t="str">
        <f>IFERROR(VLOOKUP(B33,'ПО КОРИСНИЦИМА'!$C$3:$J$508,5,FALSE),"")</f>
        <v/>
      </c>
      <c r="D33" s="280">
        <f>SUMIF('ПО КОРИСНИЦИМА'!$G$3:$G$508,"Свега за пројекат 1101-П24:",'ПО КОРИСНИЦИМА'!$H$3:$H$508)</f>
        <v>0</v>
      </c>
      <c r="E33" s="292">
        <f t="shared" si="1"/>
        <v>0</v>
      </c>
      <c r="F33" s="92">
        <f>SUMIF('ПО КОРИСНИЦИМА'!$G$3:$G$508,"Свега за пројекат 1101-П24:",'ПО КОРИСНИЦИМА'!$I$3:$I$508)</f>
        <v>0</v>
      </c>
      <c r="G33" s="291">
        <f t="shared" si="0"/>
        <v>0</v>
      </c>
      <c r="H33" s="296"/>
    </row>
    <row r="34" spans="1:8">
      <c r="A34" s="229" t="s">
        <v>4340</v>
      </c>
      <c r="B34" s="230"/>
      <c r="C34" s="260" t="s">
        <v>4491</v>
      </c>
      <c r="D34" s="284">
        <f>SUM(D35:D44)</f>
        <v>99270000</v>
      </c>
      <c r="E34" s="285">
        <f t="shared" ref="E34:E47" si="2">IFERROR(D34/$D$341,"-")</f>
        <v>0.12165441176470589</v>
      </c>
      <c r="F34" s="286">
        <f>SUM(F35:F44)</f>
        <v>2000000</v>
      </c>
      <c r="G34" s="284">
        <f>D34+F34</f>
        <v>101270000</v>
      </c>
      <c r="H34" s="287"/>
    </row>
    <row r="35" spans="1:8">
      <c r="A35" s="227"/>
      <c r="B35" s="227" t="s">
        <v>4352</v>
      </c>
      <c r="C35" s="263" t="s">
        <v>4399</v>
      </c>
      <c r="D35" s="288">
        <f>SUMIF('ПО КОРИСНИЦИМА'!$C$3:$C$547,B35,'ПО КОРИСНИЦИМА'!$H$3:$H$547)</f>
        <v>26350000</v>
      </c>
      <c r="E35" s="289">
        <f t="shared" si="2"/>
        <v>3.229166666666667E-2</v>
      </c>
      <c r="F35" s="413">
        <f>SUMIF('ПО КОРИСНИЦИМА'!$C$3:$C$547,B35,'ПО КОРИСНИЦИМА'!$I$3:$I$547)</f>
        <v>0</v>
      </c>
      <c r="G35" s="288">
        <f t="shared" si="0"/>
        <v>26350000</v>
      </c>
      <c r="H35" s="290"/>
    </row>
    <row r="36" spans="1:8">
      <c r="A36" s="91"/>
      <c r="B36" s="91" t="s">
        <v>4353</v>
      </c>
      <c r="C36" s="264" t="s">
        <v>4354</v>
      </c>
      <c r="D36" s="288">
        <f>SUMIF('ПО КОРИСНИЦИМА'!$C$3:$C$547,B36,'ПО КОРИСНИЦИМА'!$H$3:$H$547)</f>
        <v>15570000</v>
      </c>
      <c r="E36" s="292">
        <f t="shared" si="2"/>
        <v>1.9080882352941177E-2</v>
      </c>
      <c r="F36" s="413">
        <f>SUMIF('ПО КОРИСНИЦИМА'!$C$3:$C$547,B36,'ПО КОРИСНИЦИМА'!$I$3:$I$547)</f>
        <v>0</v>
      </c>
      <c r="G36" s="291">
        <f t="shared" si="0"/>
        <v>15570000</v>
      </c>
      <c r="H36" s="294"/>
    </row>
    <row r="37" spans="1:8">
      <c r="A37" s="91"/>
      <c r="B37" s="227" t="s">
        <v>4356</v>
      </c>
      <c r="C37" s="264" t="s">
        <v>4357</v>
      </c>
      <c r="D37" s="288">
        <f>SUMIF('ПО КОРИСНИЦИМА'!$C$3:$C$547,B37,'ПО КОРИСНИЦИМА'!$H$3:$H$547)</f>
        <v>31550000</v>
      </c>
      <c r="E37" s="292">
        <f t="shared" si="2"/>
        <v>3.8664215686274511E-2</v>
      </c>
      <c r="F37" s="413">
        <f>SUMIF('ПО КОРИСНИЦИМА'!$C$3:$C$547,B37,'ПО КОРИСНИЦИМА'!$I$3:$I$547)</f>
        <v>0</v>
      </c>
      <c r="G37" s="291">
        <f t="shared" si="0"/>
        <v>31550000</v>
      </c>
      <c r="H37" s="294"/>
    </row>
    <row r="38" spans="1:8" hidden="1">
      <c r="A38" s="91"/>
      <c r="B38" s="91" t="s">
        <v>4397</v>
      </c>
      <c r="C38" s="264" t="s">
        <v>4402</v>
      </c>
      <c r="D38" s="288">
        <f>SUMIF('ПО КОРИСНИЦИМА'!$C$3:$C$547,B38,'ПО КОРИСНИЦИМА'!$H$3:$H$547)</f>
        <v>0</v>
      </c>
      <c r="E38" s="292">
        <f t="shared" si="2"/>
        <v>0</v>
      </c>
      <c r="F38" s="413">
        <f>SUMIF('ПО КОРИСНИЦИМА'!$C$3:$C$547,B38,'ПО КОРИСНИЦИМА'!$I$3:$I$547)</f>
        <v>0</v>
      </c>
      <c r="G38" s="291">
        <f t="shared" si="0"/>
        <v>0</v>
      </c>
      <c r="H38" s="293"/>
    </row>
    <row r="39" spans="1:8" hidden="1">
      <c r="A39" s="91"/>
      <c r="B39" s="227" t="s">
        <v>4358</v>
      </c>
      <c r="C39" s="264" t="s">
        <v>4400</v>
      </c>
      <c r="D39" s="288">
        <f>SUMIF('ПО КОРИСНИЦИМА'!$C$3:$C$547,B39,'ПО КОРИСНИЦИМА'!$H$3:$H$547)</f>
        <v>0</v>
      </c>
      <c r="E39" s="292">
        <f t="shared" si="2"/>
        <v>0</v>
      </c>
      <c r="F39" s="413">
        <f>SUMIF('ПО КОРИСНИЦИМА'!$C$3:$C$547,B39,'ПО КОРИСНИЦИМА'!$I$3:$I$547)</f>
        <v>0</v>
      </c>
      <c r="G39" s="291">
        <f t="shared" si="0"/>
        <v>0</v>
      </c>
      <c r="H39" s="293"/>
    </row>
    <row r="40" spans="1:8" hidden="1">
      <c r="A40" s="91"/>
      <c r="B40" s="91" t="s">
        <v>4359</v>
      </c>
      <c r="C40" s="264" t="s">
        <v>4360</v>
      </c>
      <c r="D40" s="288">
        <f>SUMIF('ПО КОРИСНИЦИМА'!$C$3:$C$547,B40,'ПО КОРИСНИЦИМА'!$H$3:$H$547)</f>
        <v>0</v>
      </c>
      <c r="E40" s="292">
        <f t="shared" si="2"/>
        <v>0</v>
      </c>
      <c r="F40" s="413">
        <f>SUMIF('ПО КОРИСНИЦИМА'!$C$3:$C$547,B40,'ПО КОРИСНИЦИМА'!$I$3:$I$547)</f>
        <v>0</v>
      </c>
      <c r="G40" s="291">
        <f t="shared" si="0"/>
        <v>0</v>
      </c>
      <c r="H40" s="293"/>
    </row>
    <row r="41" spans="1:8" hidden="1">
      <c r="A41" s="91"/>
      <c r="B41" s="227" t="s">
        <v>4398</v>
      </c>
      <c r="C41" s="264" t="s">
        <v>4401</v>
      </c>
      <c r="D41" s="288">
        <f>SUMIF('ПО КОРИСНИЦИМА'!$C$3:$C$547,B41,'ПО КОРИСНИЦИМА'!$H$3:$H$547)</f>
        <v>0</v>
      </c>
      <c r="E41" s="292">
        <f t="shared" si="2"/>
        <v>0</v>
      </c>
      <c r="F41" s="413">
        <f>SUMIF('ПО КОРИСНИЦИМА'!$C$3:$C$547,B41,'ПО КОРИСНИЦИМА'!$I$3:$I$547)</f>
        <v>0</v>
      </c>
      <c r="G41" s="291">
        <f t="shared" si="0"/>
        <v>0</v>
      </c>
      <c r="H41" s="293"/>
    </row>
    <row r="42" spans="1:8">
      <c r="A42" s="91"/>
      <c r="B42" s="91" t="s">
        <v>4341</v>
      </c>
      <c r="C42" s="264" t="s">
        <v>4361</v>
      </c>
      <c r="D42" s="288">
        <f>SUMIF('ПО КОРИСНИЦИМА'!$C$3:$C$547,B42,'ПО КОРИСНИЦИМА'!$H$3:$H$547)</f>
        <v>23200000</v>
      </c>
      <c r="E42" s="292">
        <f t="shared" si="2"/>
        <v>2.8431372549019607E-2</v>
      </c>
      <c r="F42" s="413">
        <f>SUMIF('ПО КОРИСНИЦИМА'!$C$3:$C$547,B42,'ПО КОРИСНИЦИМА'!$I$3:$I$547)</f>
        <v>0</v>
      </c>
      <c r="G42" s="291">
        <f t="shared" si="0"/>
        <v>23200000</v>
      </c>
      <c r="H42" s="294"/>
    </row>
    <row r="43" spans="1:8" ht="25.5" customHeight="1">
      <c r="A43" s="91"/>
      <c r="B43" s="91" t="s">
        <v>4342</v>
      </c>
      <c r="C43" s="629" t="s">
        <v>4581</v>
      </c>
      <c r="D43" s="288">
        <f>SUMIF('ПО КОРИСНИЦИМА'!$C$3:$C$547,B43,'ПО КОРИСНИЦИМА'!$H$3:$H$547)</f>
        <v>2600000</v>
      </c>
      <c r="E43" s="292">
        <f t="shared" si="2"/>
        <v>3.1862745098039215E-3</v>
      </c>
      <c r="F43" s="413">
        <f>SUMIF('ПО КОРИСНИЦИМА'!$C$3:$C$547,B43,'ПО КОРИСНИЦИМА'!$I$3:$I$547)</f>
        <v>2000000</v>
      </c>
      <c r="G43" s="291">
        <f t="shared" si="0"/>
        <v>4600000</v>
      </c>
      <c r="H43" s="293"/>
    </row>
    <row r="44" spans="1:8" hidden="1">
      <c r="A44" s="91"/>
      <c r="B44" s="91" t="s">
        <v>4343</v>
      </c>
      <c r="C44" s="629"/>
      <c r="D44" s="288">
        <f>SUMIF('ПО КОРИСНИЦИМА'!$C$3:$C$547,B44,'ПО КОРИСНИЦИМА'!$H$3:$H$547)</f>
        <v>0</v>
      </c>
      <c r="E44" s="292">
        <f t="shared" si="2"/>
        <v>0</v>
      </c>
      <c r="F44" s="413">
        <f>SUMIF('ПО КОРИСНИЦИМА'!$C$3:$C$547,B44,'ПО КОРИСНИЦИМА'!$I$3:$I$547)</f>
        <v>0</v>
      </c>
      <c r="G44" s="291">
        <f t="shared" si="0"/>
        <v>0</v>
      </c>
      <c r="H44" s="294"/>
    </row>
    <row r="45" spans="1:8">
      <c r="A45" s="229" t="s">
        <v>3562</v>
      </c>
      <c r="B45" s="230"/>
      <c r="C45" s="260" t="s">
        <v>3661</v>
      </c>
      <c r="D45" s="284">
        <f>SUM(D46:D68)</f>
        <v>25080000</v>
      </c>
      <c r="E45" s="285">
        <f t="shared" si="2"/>
        <v>3.0735294117647059E-2</v>
      </c>
      <c r="F45" s="286">
        <f>SUM(F46:F68)</f>
        <v>16000000</v>
      </c>
      <c r="G45" s="284">
        <f t="shared" si="0"/>
        <v>41080000</v>
      </c>
      <c r="H45" s="287"/>
    </row>
    <row r="46" spans="1:8">
      <c r="A46" s="91"/>
      <c r="B46" s="91" t="s">
        <v>4384</v>
      </c>
      <c r="C46" s="264" t="s">
        <v>4412</v>
      </c>
      <c r="D46" s="288">
        <f>SUMIF('ПО КОРИСНИЦИМА'!$C$3:$C$547,B46,'ПО КОРИСНИЦИМА'!$H$3:$H$547)</f>
        <v>10480000</v>
      </c>
      <c r="E46" s="292">
        <f t="shared" si="2"/>
        <v>1.2843137254901962E-2</v>
      </c>
      <c r="F46" s="413">
        <f>SUMIF('ПО КОРИСНИЦИМА'!$C$3:$C$547,B46,'ПО КОРИСНИЦИМА'!$I$3:$I$547)</f>
        <v>0</v>
      </c>
      <c r="G46" s="291">
        <f t="shared" si="0"/>
        <v>10480000</v>
      </c>
      <c r="H46" s="294"/>
    </row>
    <row r="47" spans="1:8">
      <c r="A47" s="91"/>
      <c r="B47" s="91" t="s">
        <v>3969</v>
      </c>
      <c r="C47" s="264" t="s">
        <v>4337</v>
      </c>
      <c r="D47" s="288">
        <f>SUMIF('ПО КОРИСНИЦИМА'!$C$3:$C$547,B47,'ПО КОРИСНИЦИМА'!$H$3:$H$547)</f>
        <v>14600000</v>
      </c>
      <c r="E47" s="292">
        <f t="shared" si="2"/>
        <v>1.7892156862745097E-2</v>
      </c>
      <c r="F47" s="413">
        <f>SUMIF('ПО КОРИСНИЦИМА'!$C$3:$C$547,B47,'ПО КОРИСНИЦИМА'!$I$3:$I$547)</f>
        <v>16000000</v>
      </c>
      <c r="G47" s="291">
        <f t="shared" si="0"/>
        <v>30600000</v>
      </c>
      <c r="H47" s="294"/>
    </row>
    <row r="48" spans="1:8" hidden="1">
      <c r="A48" s="91"/>
      <c r="B48" s="91" t="s">
        <v>4413</v>
      </c>
      <c r="C48" s="264" t="s">
        <v>4496</v>
      </c>
      <c r="D48" s="288">
        <f>SUMIF('ПО КОРИСНИЦИМА'!$C$3:$C$547,B48,'ПО КОРИСНИЦИМА'!$H$3:$H$547)</f>
        <v>0</v>
      </c>
      <c r="E48" s="292"/>
      <c r="F48" s="413">
        <f>SUMIF('ПО КОРИСНИЦИМА'!$C$3:$C$547,B48,'ПО КОРИСНИЦИМА'!$I$3:$I$547)</f>
        <v>0</v>
      </c>
      <c r="G48" s="291">
        <f t="shared" si="0"/>
        <v>0</v>
      </c>
      <c r="H48" s="293"/>
    </row>
    <row r="49" spans="1:8" hidden="1">
      <c r="A49" s="91"/>
      <c r="B49" s="91" t="s">
        <v>4079</v>
      </c>
      <c r="C49" s="262"/>
      <c r="D49" s="288">
        <f>SUMIF('ПО КОРИСНИЦИМА'!$C$3:$C$547,B49,'ПО КОРИСНИЦИМА'!$H$3:$H$547)</f>
        <v>0</v>
      </c>
      <c r="E49" s="292">
        <f t="shared" ref="E49:E76" si="3">IFERROR(D49/$D$341,"-")</f>
        <v>0</v>
      </c>
      <c r="F49" s="413">
        <f>SUMIF('ПО КОРИСНИЦИМА'!$C$3:$C$547,B49,'ПО КОРИСНИЦИМА'!$I$3:$I$547)</f>
        <v>0</v>
      </c>
      <c r="G49" s="291">
        <f t="shared" si="0"/>
        <v>0</v>
      </c>
      <c r="H49" s="294"/>
    </row>
    <row r="50" spans="1:8" hidden="1">
      <c r="A50" s="91"/>
      <c r="B50" s="91" t="s">
        <v>4492</v>
      </c>
      <c r="C50" s="264"/>
      <c r="D50" s="280">
        <f>SUMIF('ПО КОРИСНИЦИМА'!$G$3:$G$508,"Свега за пројекат 1501-П6:",'ПО КОРИСНИЦИМА'!$H$3:$H$508)</f>
        <v>0</v>
      </c>
      <c r="E50" s="292">
        <f t="shared" si="3"/>
        <v>0</v>
      </c>
      <c r="F50" s="92">
        <f>SUMIF('ПО КОРИСНИЦИМА'!$G$3:$G$508,"Свега за пројекат 1501-П6:",'ПО КОРИСНИЦИМА'!$I$3:$I$508)</f>
        <v>0</v>
      </c>
      <c r="G50" s="291">
        <f t="shared" ref="G50:G68" si="4">D50+F50</f>
        <v>0</v>
      </c>
      <c r="H50" s="293"/>
    </row>
    <row r="51" spans="1:8" hidden="1">
      <c r="A51" s="91"/>
      <c r="B51" s="91" t="s">
        <v>4493</v>
      </c>
      <c r="C51" s="264"/>
      <c r="D51" s="280">
        <f>SUMIF('ПО КОРИСНИЦИМА'!$G$3:$G$508,"Свега за пројекат 1501-П7:",'ПО КОРИСНИЦИМА'!$H$3:$H$508)</f>
        <v>0</v>
      </c>
      <c r="E51" s="292">
        <f t="shared" si="3"/>
        <v>0</v>
      </c>
      <c r="F51" s="92">
        <f>SUMIF('ПО КОРИСНИЦИМА'!$G$3:$G$508,"Свега за пројекат 1501-П7:",'ПО КОРИСНИЦИМА'!$I$3:$I$508)</f>
        <v>0</v>
      </c>
      <c r="G51" s="291">
        <f t="shared" si="4"/>
        <v>0</v>
      </c>
      <c r="H51" s="293"/>
    </row>
    <row r="52" spans="1:8" hidden="1">
      <c r="A52" s="91"/>
      <c r="B52" s="91" t="s">
        <v>4494</v>
      </c>
      <c r="C52" s="264"/>
      <c r="D52" s="280">
        <f>SUMIF('ПО КОРИСНИЦИМА'!$G$3:$G$508,"Свега за пројекат 1501-П8:",'ПО КОРИСНИЦИМА'!$H$3:$H$508)</f>
        <v>0</v>
      </c>
      <c r="E52" s="292">
        <f t="shared" si="3"/>
        <v>0</v>
      </c>
      <c r="F52" s="92">
        <f>SUMIF('ПО КОРИСНИЦИМА'!$G$3:$G$508,"Свега за пројекат 1501-П8:",'ПО КОРИСНИЦИМА'!$I$3:$I$508)</f>
        <v>0</v>
      </c>
      <c r="G52" s="291">
        <f t="shared" si="4"/>
        <v>0</v>
      </c>
      <c r="H52" s="293"/>
    </row>
    <row r="53" spans="1:8" hidden="1">
      <c r="A53" s="91"/>
      <c r="B53" s="91" t="s">
        <v>4495</v>
      </c>
      <c r="C53" s="264"/>
      <c r="D53" s="280">
        <f>SUMIF('ПО КОРИСНИЦИМА'!$G$3:$G$508,"Свега за пројекат 1501-П9:",'ПО КОРИСНИЦИМА'!$H$3:$H$508)</f>
        <v>0</v>
      </c>
      <c r="E53" s="292">
        <f t="shared" si="3"/>
        <v>0</v>
      </c>
      <c r="F53" s="92">
        <f>SUMIF('ПО КОРИСНИЦИМА'!$G$3:$G$508,"Свега за пројекат 1501-П9:",'ПО КОРИСНИЦИМА'!$I$3:$I$508)</f>
        <v>0</v>
      </c>
      <c r="G53" s="291">
        <f t="shared" si="4"/>
        <v>0</v>
      </c>
      <c r="H53" s="293"/>
    </row>
    <row r="54" spans="1:8" hidden="1">
      <c r="A54" s="91"/>
      <c r="B54" s="91" t="s">
        <v>4080</v>
      </c>
      <c r="C54" s="264"/>
      <c r="D54" s="280">
        <f>SUMIF('ПО КОРИСНИЦИМА'!$G$3:$G$508,"Свега за пројекат 1501-П10:",'ПО КОРИСНИЦИМА'!$H$3:$H$508)</f>
        <v>0</v>
      </c>
      <c r="E54" s="292">
        <f t="shared" si="3"/>
        <v>0</v>
      </c>
      <c r="F54" s="92">
        <f>SUMIF('ПО КОРИСНИЦИМА'!$G$3:$G$508,"Свега за пројекат 1501-П10:",'ПО КОРИСНИЦИМА'!$I$3:$I$508)</f>
        <v>0</v>
      </c>
      <c r="G54" s="291">
        <f t="shared" si="4"/>
        <v>0</v>
      </c>
      <c r="H54" s="293"/>
    </row>
    <row r="55" spans="1:8" hidden="1">
      <c r="A55" s="91"/>
      <c r="B55" s="91" t="s">
        <v>4081</v>
      </c>
      <c r="C55" s="264"/>
      <c r="D55" s="280">
        <f>SUMIF('ПО КОРИСНИЦИМА'!$G$3:$G$508,"Свега за пројекат 1501-П11:",'ПО КОРИСНИЦИМА'!$H$3:$H$508)</f>
        <v>0</v>
      </c>
      <c r="E55" s="292">
        <f t="shared" si="3"/>
        <v>0</v>
      </c>
      <c r="F55" s="92">
        <f>SUMIF('ПО КОРИСНИЦИМА'!$G$3:$G$508,"Свега за пројекат 1501-П11:",'ПО КОРИСНИЦИМА'!$I$3:$I$508)</f>
        <v>0</v>
      </c>
      <c r="G55" s="291">
        <f t="shared" si="4"/>
        <v>0</v>
      </c>
      <c r="H55" s="293"/>
    </row>
    <row r="56" spans="1:8" hidden="1">
      <c r="A56" s="91"/>
      <c r="B56" s="91" t="s">
        <v>4082</v>
      </c>
      <c r="C56" s="264"/>
      <c r="D56" s="280">
        <f>SUMIF('ПО КОРИСНИЦИМА'!$G$3:$G$508,"Свега за пројекат 1501-П12:",'ПО КОРИСНИЦИМА'!$H$3:$H$508)</f>
        <v>0</v>
      </c>
      <c r="E56" s="292">
        <f t="shared" si="3"/>
        <v>0</v>
      </c>
      <c r="F56" s="92">
        <f>SUMIF('ПО КОРИСНИЦИМА'!$G$3:$G$508,"Свега за пројекат 1501-П12:",'ПО КОРИСНИЦИМА'!$I$3:$I$508)</f>
        <v>0</v>
      </c>
      <c r="G56" s="291">
        <f t="shared" si="4"/>
        <v>0</v>
      </c>
      <c r="H56" s="293"/>
    </row>
    <row r="57" spans="1:8" hidden="1">
      <c r="A57" s="91"/>
      <c r="B57" s="91" t="s">
        <v>4083</v>
      </c>
      <c r="C57" s="264"/>
      <c r="D57" s="280">
        <f>SUMIF('ПО КОРИСНИЦИМА'!$G$3:$G$508,"Свега за пројекат 1501-П13:",'ПО КОРИСНИЦИМА'!$H$3:$H$508)</f>
        <v>0</v>
      </c>
      <c r="E57" s="292">
        <f t="shared" si="3"/>
        <v>0</v>
      </c>
      <c r="F57" s="92">
        <f>SUMIF('ПО КОРИСНИЦИМА'!$G$3:$G$508,"Свега за пројекат 1501-П13:",'ПО КОРИСНИЦИМА'!$I$3:$I$508)</f>
        <v>0</v>
      </c>
      <c r="G57" s="291">
        <f t="shared" si="4"/>
        <v>0</v>
      </c>
      <c r="H57" s="293"/>
    </row>
    <row r="58" spans="1:8" hidden="1">
      <c r="A58" s="91"/>
      <c r="B58" s="91" t="s">
        <v>4084</v>
      </c>
      <c r="C58" s="264"/>
      <c r="D58" s="280">
        <f>SUMIF('ПО КОРИСНИЦИМА'!$G$3:$G$508,"Свега за пројекат 1501-П14:",'ПО КОРИСНИЦИМА'!$H$3:$H$508)</f>
        <v>0</v>
      </c>
      <c r="E58" s="292">
        <f t="shared" si="3"/>
        <v>0</v>
      </c>
      <c r="F58" s="92">
        <f>SUMIF('ПО КОРИСНИЦИМА'!$G$3:$G$508,"Свега за пројекат 1501-П14:",'ПО КОРИСНИЦИМА'!$I$3:$I$508)</f>
        <v>0</v>
      </c>
      <c r="G58" s="291">
        <f t="shared" si="4"/>
        <v>0</v>
      </c>
      <c r="H58" s="293"/>
    </row>
    <row r="59" spans="1:8" hidden="1">
      <c r="A59" s="91"/>
      <c r="B59" s="91" t="s">
        <v>4085</v>
      </c>
      <c r="C59" s="264"/>
      <c r="D59" s="280">
        <f>SUMIF('ПО КОРИСНИЦИМА'!$G$3:$G$508,"Свега за пројекат 1501-П15:",'ПО КОРИСНИЦИМА'!$H$3:$H$508)</f>
        <v>0</v>
      </c>
      <c r="E59" s="292">
        <f t="shared" si="3"/>
        <v>0</v>
      </c>
      <c r="F59" s="92">
        <f>SUMIF('ПО КОРИСНИЦИМА'!$G$3:$G$508,"Свега за пројекат 1501-П15:",'ПО КОРИСНИЦИМА'!$I$3:$I$508)</f>
        <v>0</v>
      </c>
      <c r="G59" s="291">
        <f t="shared" si="4"/>
        <v>0</v>
      </c>
      <c r="H59" s="293"/>
    </row>
    <row r="60" spans="1:8" hidden="1">
      <c r="A60" s="91"/>
      <c r="B60" s="91" t="s">
        <v>4086</v>
      </c>
      <c r="C60" s="264"/>
      <c r="D60" s="280">
        <f>SUMIF('ПО КОРИСНИЦИМА'!$G$3:$G$508,"Свега за пројекат 1501-П16:",'ПО КОРИСНИЦИМА'!$H$3:$H$508)</f>
        <v>0</v>
      </c>
      <c r="E60" s="292">
        <f t="shared" si="3"/>
        <v>0</v>
      </c>
      <c r="F60" s="92">
        <f>SUMIF('ПО КОРИСНИЦИМА'!$G$3:$G$508,"Свега за пројекат 1501-П16:",'ПО КОРИСНИЦИМА'!$I$3:$I$508)</f>
        <v>0</v>
      </c>
      <c r="G60" s="291">
        <f t="shared" si="4"/>
        <v>0</v>
      </c>
      <c r="H60" s="293"/>
    </row>
    <row r="61" spans="1:8" hidden="1">
      <c r="A61" s="91"/>
      <c r="B61" s="91" t="s">
        <v>4087</v>
      </c>
      <c r="C61" s="264"/>
      <c r="D61" s="280">
        <f>SUMIF('ПО КОРИСНИЦИМА'!$G$3:$G$508,"Свега за пројекат 1501-П17:",'ПО КОРИСНИЦИМА'!$H$3:$H$508)</f>
        <v>0</v>
      </c>
      <c r="E61" s="292">
        <f t="shared" si="3"/>
        <v>0</v>
      </c>
      <c r="F61" s="92">
        <f>SUMIF('ПО КОРИСНИЦИМА'!$G$3:$G$508,"Свега за пројекат 1501-П17:",'ПО КОРИСНИЦИМА'!$I$3:$I$508)</f>
        <v>0</v>
      </c>
      <c r="G61" s="291">
        <f t="shared" si="4"/>
        <v>0</v>
      </c>
      <c r="H61" s="293"/>
    </row>
    <row r="62" spans="1:8" hidden="1">
      <c r="A62" s="91"/>
      <c r="B62" s="91" t="s">
        <v>4088</v>
      </c>
      <c r="C62" s="264"/>
      <c r="D62" s="280">
        <f>SUMIF('ПО КОРИСНИЦИМА'!$G$3:$G$508,"Свега за пројекат 1501-П18:",'ПО КОРИСНИЦИМА'!$H$3:$H$508)</f>
        <v>0</v>
      </c>
      <c r="E62" s="292">
        <f t="shared" si="3"/>
        <v>0</v>
      </c>
      <c r="F62" s="92">
        <f>SUMIF('ПО КОРИСНИЦИМА'!$G$3:$G$508,"Свега за пројекат 1501-П18:",'ПО КОРИСНИЦИМА'!$I$3:$I$508)</f>
        <v>0</v>
      </c>
      <c r="G62" s="291">
        <f t="shared" si="4"/>
        <v>0</v>
      </c>
      <c r="H62" s="293"/>
    </row>
    <row r="63" spans="1:8" hidden="1">
      <c r="A63" s="91"/>
      <c r="B63" s="91" t="s">
        <v>4089</v>
      </c>
      <c r="C63" s="264"/>
      <c r="D63" s="280">
        <f>SUMIF('ПО КОРИСНИЦИМА'!$G$3:$G$508,"Свега за пројекат 1501-П19:",'ПО КОРИСНИЦИМА'!$H$3:$H$508)</f>
        <v>0</v>
      </c>
      <c r="E63" s="292">
        <f t="shared" si="3"/>
        <v>0</v>
      </c>
      <c r="F63" s="92">
        <f>SUMIF('ПО КОРИСНИЦИМА'!$G$3:$G$508,"Свега за пројекат 1501-П19:",'ПО КОРИСНИЦИМА'!$I$3:$I$508)</f>
        <v>0</v>
      </c>
      <c r="G63" s="291">
        <f t="shared" si="4"/>
        <v>0</v>
      </c>
      <c r="H63" s="294"/>
    </row>
    <row r="64" spans="1:8" hidden="1">
      <c r="A64" s="91"/>
      <c r="B64" s="91" t="s">
        <v>4090</v>
      </c>
      <c r="C64" s="264"/>
      <c r="D64" s="280">
        <f>SUMIF('ПО КОРИСНИЦИМА'!$G$3:$G$508,"Свега за пројекат 1501-П20:",'ПО КОРИСНИЦИМА'!$H$3:$H$508)</f>
        <v>0</v>
      </c>
      <c r="E64" s="292">
        <f t="shared" si="3"/>
        <v>0</v>
      </c>
      <c r="F64" s="92">
        <f>SUMIF('ПО КОРИСНИЦИМА'!$G$3:$G$508,"Свега за пројекат 1501-П20:",'ПО КОРИСНИЦИМА'!$I$3:$I$508)</f>
        <v>0</v>
      </c>
      <c r="G64" s="291">
        <f t="shared" si="4"/>
        <v>0</v>
      </c>
      <c r="H64" s="294"/>
    </row>
    <row r="65" spans="1:8" hidden="1">
      <c r="A65" s="91"/>
      <c r="B65" s="91" t="s">
        <v>4091</v>
      </c>
      <c r="C65" s="264"/>
      <c r="D65" s="280">
        <f>SUMIF('ПО КОРИСНИЦИМА'!$G$3:$G$508,"Свега за пројекат 1501-П21:",'ПО КОРИСНИЦИМА'!$H$3:$H$508)</f>
        <v>0</v>
      </c>
      <c r="E65" s="292">
        <f t="shared" si="3"/>
        <v>0</v>
      </c>
      <c r="F65" s="92">
        <f>SUMIF('ПО КОРИСНИЦИМА'!$G$3:$G$508,"Свега за пројекат 1501-П21:",'ПО КОРИСНИЦИМА'!$I$3:$I$508)</f>
        <v>0</v>
      </c>
      <c r="G65" s="291">
        <f t="shared" si="4"/>
        <v>0</v>
      </c>
      <c r="H65" s="294"/>
    </row>
    <row r="66" spans="1:8" hidden="1">
      <c r="A66" s="91"/>
      <c r="B66" s="91" t="s">
        <v>4092</v>
      </c>
      <c r="C66" s="264"/>
      <c r="D66" s="280">
        <f>SUMIF('ПО КОРИСНИЦИМА'!$G$3:$G$508,"Свега за пројекат 1501-П22:",'ПО КОРИСНИЦИМА'!$H$3:$H$508)</f>
        <v>0</v>
      </c>
      <c r="E66" s="292">
        <f t="shared" si="3"/>
        <v>0</v>
      </c>
      <c r="F66" s="92">
        <f>SUMIF('ПО КОРИСНИЦИМА'!$G$3:$G$508,"Свега за пројекат 1501-П22:",'ПО КОРИСНИЦИМА'!$I$3:$I$508)</f>
        <v>0</v>
      </c>
      <c r="G66" s="291">
        <f t="shared" si="4"/>
        <v>0</v>
      </c>
      <c r="H66" s="294"/>
    </row>
    <row r="67" spans="1:8" hidden="1">
      <c r="A67" s="91"/>
      <c r="B67" s="91" t="s">
        <v>4093</v>
      </c>
      <c r="C67" s="264"/>
      <c r="D67" s="280">
        <f>SUMIF('ПО КОРИСНИЦИМА'!$G$3:$G$508,"Свега за пројекат 1501-П23:",'ПО КОРИСНИЦИМА'!$H$3:$H$508)</f>
        <v>0</v>
      </c>
      <c r="E67" s="292">
        <f t="shared" si="3"/>
        <v>0</v>
      </c>
      <c r="F67" s="92">
        <f>SUMIF('ПО КОРИСНИЦИМА'!$G$3:$G$508,"Свега за пројекат 1501-П23:",'ПО КОРИСНИЦИМА'!$I$3:$I$508)</f>
        <v>0</v>
      </c>
      <c r="G67" s="291">
        <f t="shared" si="4"/>
        <v>0</v>
      </c>
      <c r="H67" s="294"/>
    </row>
    <row r="68" spans="1:8" hidden="1">
      <c r="A68" s="226"/>
      <c r="B68" s="91" t="s">
        <v>4094</v>
      </c>
      <c r="C68" s="265"/>
      <c r="D68" s="280">
        <f>SUMIF('ПО КОРИСНИЦИМА'!$G$3:$G$508,"Свега за пројекат 1501-П24:",'ПО КОРИСНИЦИМА'!$H$3:$H$508)</f>
        <v>0</v>
      </c>
      <c r="E68" s="292">
        <f t="shared" si="3"/>
        <v>0</v>
      </c>
      <c r="F68" s="92">
        <f>SUMIF('ПО КОРИСНИЦИМА'!$G$3:$G$508,"Свега за пројекат 1501-П24:",'ПО КОРИСНИЦИМА'!$I$3:$I$508)</f>
        <v>0</v>
      </c>
      <c r="G68" s="291">
        <f t="shared" si="4"/>
        <v>0</v>
      </c>
      <c r="H68" s="295"/>
    </row>
    <row r="69" spans="1:8" s="94" customFormat="1" ht="14.25">
      <c r="A69" s="229" t="s">
        <v>3565</v>
      </c>
      <c r="B69" s="230"/>
      <c r="C69" s="260" t="s">
        <v>3662</v>
      </c>
      <c r="D69" s="284">
        <f>SUM(D70:D91)</f>
        <v>8000000</v>
      </c>
      <c r="E69" s="285">
        <f t="shared" si="3"/>
        <v>9.8039215686274508E-3</v>
      </c>
      <c r="F69" s="286">
        <f>SUM(F70:F91)</f>
        <v>0</v>
      </c>
      <c r="G69" s="284">
        <f t="shared" si="0"/>
        <v>8000000</v>
      </c>
      <c r="H69" s="286"/>
    </row>
    <row r="70" spans="1:8" hidden="1">
      <c r="A70" s="227"/>
      <c r="B70" s="232" t="s">
        <v>3979</v>
      </c>
      <c r="C70" s="266" t="s">
        <v>3970</v>
      </c>
      <c r="D70" s="288">
        <f>SUMIF('ПО КОРИСНИЦИМА'!$C$3:$C$547,B70,'ПО КОРИСНИЦИМА'!$H$3:$H$547)</f>
        <v>0</v>
      </c>
      <c r="E70" s="289">
        <f t="shared" si="3"/>
        <v>0</v>
      </c>
      <c r="F70" s="413">
        <f>SUMIF('ПО КОРИСНИЦИМА'!$C$3:$C$547,B70,'ПО КОРИСНИЦИМА'!$I$3:$I$547)</f>
        <v>0</v>
      </c>
      <c r="G70" s="288">
        <f t="shared" si="0"/>
        <v>0</v>
      </c>
      <c r="H70" s="290"/>
    </row>
    <row r="71" spans="1:8">
      <c r="A71" s="91"/>
      <c r="B71" s="96" t="s">
        <v>4043</v>
      </c>
      <c r="C71" s="267" t="s">
        <v>4410</v>
      </c>
      <c r="D71" s="288">
        <f>SUMIF('ПО КОРИСНИЦИМА'!$C$3:$C$547,B71,'ПО КОРИСНИЦИМА'!$H$3:$H$547)</f>
        <v>8000000</v>
      </c>
      <c r="E71" s="292">
        <f t="shared" si="3"/>
        <v>9.8039215686274508E-3</v>
      </c>
      <c r="F71" s="413">
        <f>SUMIF('ПО КОРИСНИЦИМА'!$C$3:$C$547,B71,'ПО КОРИСНИЦИМА'!$I$3:$I$547)</f>
        <v>0</v>
      </c>
      <c r="G71" s="291">
        <f t="shared" si="0"/>
        <v>8000000</v>
      </c>
      <c r="H71" s="294"/>
    </row>
    <row r="72" spans="1:8" hidden="1">
      <c r="A72" s="96"/>
      <c r="B72" s="91" t="s">
        <v>4095</v>
      </c>
      <c r="C72" s="262" t="str">
        <f>IFERROR(VLOOKUP(B72,'ПО КОРИСНИЦИМА'!$C$3:$J$508,5,FALSE),"")</f>
        <v/>
      </c>
      <c r="D72" s="288">
        <f>SUMIF('ПО КОРИСНИЦИМА'!$C$3:$C$547,B72,'ПО КОРИСНИЦИМА'!$H$3:$H$547)</f>
        <v>0</v>
      </c>
      <c r="E72" s="292">
        <f t="shared" si="3"/>
        <v>0</v>
      </c>
      <c r="F72" s="413">
        <f>SUMIF('ПО КОРИСНИЦИМА'!$C$3:$C$547,B72,'ПО КОРИСНИЦИМА'!$I$3:$I$547)</f>
        <v>0</v>
      </c>
      <c r="G72" s="291">
        <f t="shared" si="0"/>
        <v>0</v>
      </c>
      <c r="H72" s="294"/>
    </row>
    <row r="73" spans="1:8" hidden="1">
      <c r="A73" s="96"/>
      <c r="B73" s="91" t="s">
        <v>4497</v>
      </c>
      <c r="C73" s="262" t="str">
        <f>IFERROR(VLOOKUP(B73,'ПО КОРИСНИЦИМА'!$C$3:$J$508,5,FALSE),"")</f>
        <v/>
      </c>
      <c r="D73" s="280">
        <f>SUMIF('ПО КОРИСНИЦИМА'!$G$3:$G$508,"Свега за пројекат 1502-П6:",'ПО КОРИСНИЦИМА'!$H$3:$H$508)</f>
        <v>0</v>
      </c>
      <c r="E73" s="292">
        <f t="shared" si="3"/>
        <v>0</v>
      </c>
      <c r="F73" s="92">
        <f>SUMIF('ПО КОРИСНИЦИМА'!$G$3:$G$508,"Свега за пројекат 1502-П6:",'ПО КОРИСНИЦИМА'!$I$3:$I$508)</f>
        <v>0</v>
      </c>
      <c r="G73" s="291">
        <f t="shared" si="0"/>
        <v>0</v>
      </c>
      <c r="H73" s="293"/>
    </row>
    <row r="74" spans="1:8" hidden="1">
      <c r="A74" s="96"/>
      <c r="B74" s="91" t="s">
        <v>4498</v>
      </c>
      <c r="C74" s="262" t="str">
        <f>IFERROR(VLOOKUP(B74,'ПО КОРИСНИЦИМА'!$C$3:$J$508,5,FALSE),"")</f>
        <v/>
      </c>
      <c r="D74" s="280">
        <f>SUMIF('ПО КОРИСНИЦИМА'!$G$3:$G$508,"Свега за пројекат 1502-П7:",'ПО КОРИСНИЦИМА'!$H$3:$H$508)</f>
        <v>0</v>
      </c>
      <c r="E74" s="292">
        <f t="shared" si="3"/>
        <v>0</v>
      </c>
      <c r="F74" s="92">
        <f>SUMIF('ПО КОРИСНИЦИМА'!$G$3:$G$508,"Свега за пројекат 1502-П7:",'ПО КОРИСНИЦИМА'!$I$3:$I$508)</f>
        <v>0</v>
      </c>
      <c r="G74" s="291">
        <f t="shared" si="0"/>
        <v>0</v>
      </c>
      <c r="H74" s="293"/>
    </row>
    <row r="75" spans="1:8" hidden="1">
      <c r="A75" s="96"/>
      <c r="B75" s="91" t="s">
        <v>4499</v>
      </c>
      <c r="C75" s="262" t="str">
        <f>IFERROR(VLOOKUP(B75,'ПО КОРИСНИЦИМА'!$C$3:$J$508,5,FALSE),"")</f>
        <v/>
      </c>
      <c r="D75" s="280">
        <f>SUMIF('ПО КОРИСНИЦИМА'!$G$3:$G$508,"Свега за пројекат 1502-П8:",'ПО КОРИСНИЦИМА'!$H$3:$H$508)</f>
        <v>0</v>
      </c>
      <c r="E75" s="292">
        <f t="shared" si="3"/>
        <v>0</v>
      </c>
      <c r="F75" s="92">
        <f>SUMIF('ПО КОРИСНИЦИМА'!$G$3:$G$508,"Свега за пројекат 1502-П8:",'ПО КОРИСНИЦИМА'!$I$3:$I$508)</f>
        <v>0</v>
      </c>
      <c r="G75" s="291">
        <f t="shared" si="0"/>
        <v>0</v>
      </c>
      <c r="H75" s="293"/>
    </row>
    <row r="76" spans="1:8" hidden="1">
      <c r="A76" s="96"/>
      <c r="B76" s="91" t="s">
        <v>4500</v>
      </c>
      <c r="C76" s="262" t="str">
        <f>IFERROR(VLOOKUP(B76,'ПО КОРИСНИЦИМА'!$C$3:$J$508,5,FALSE),"")</f>
        <v/>
      </c>
      <c r="D76" s="280">
        <f>SUMIF('ПО КОРИСНИЦИМА'!$G$3:$G$508,"Свега за пројекат 1502-П9:",'ПО КОРИСНИЦИМА'!$H$3:$H$508)</f>
        <v>0</v>
      </c>
      <c r="E76" s="292">
        <f t="shared" si="3"/>
        <v>0</v>
      </c>
      <c r="F76" s="92">
        <f>SUMIF('ПО КОРИСНИЦИМА'!$G$3:$G$508,"Свега за пројекат 1502-П9:",'ПО КОРИСНИЦИМА'!$I$3:$I$508)</f>
        <v>0</v>
      </c>
      <c r="G76" s="291">
        <f t="shared" si="0"/>
        <v>0</v>
      </c>
      <c r="H76" s="293"/>
    </row>
    <row r="77" spans="1:8" hidden="1">
      <c r="A77" s="96"/>
      <c r="B77" s="91" t="s">
        <v>4096</v>
      </c>
      <c r="C77" s="262" t="str">
        <f>IFERROR(VLOOKUP(B77,'ПО КОРИСНИЦИМА'!$C$3:$J$508,5,FALSE),"")</f>
        <v/>
      </c>
      <c r="D77" s="280">
        <f>SUMIF('ПО КОРИСНИЦИМА'!$G$3:$G$508,"Свега за пројекат 1502-П10:",'ПО КОРИСНИЦИМА'!$H$3:$H$508)</f>
        <v>0</v>
      </c>
      <c r="E77" s="292">
        <f t="shared" ref="E77:E106" si="5">IFERROR(D77/$D$341,"-")</f>
        <v>0</v>
      </c>
      <c r="F77" s="92">
        <f>SUMIF('ПО КОРИСНИЦИМА'!$G$3:$G$508,"Свега за пројекат 1502-П10:",'ПО КОРИСНИЦИМА'!$I$3:$I$508)</f>
        <v>0</v>
      </c>
      <c r="G77" s="291">
        <f t="shared" si="0"/>
        <v>0</v>
      </c>
      <c r="H77" s="293"/>
    </row>
    <row r="78" spans="1:8" hidden="1">
      <c r="A78" s="96"/>
      <c r="B78" s="91" t="s">
        <v>4097</v>
      </c>
      <c r="C78" s="262" t="str">
        <f>IFERROR(VLOOKUP(B78,'ПО КОРИСНИЦИМА'!$C$3:$J$508,5,FALSE),"")</f>
        <v/>
      </c>
      <c r="D78" s="280">
        <f>SUMIF('ПО КОРИСНИЦИМА'!$G$3:$G$508,"Свега за пројекат 1502-П11:",'ПО КОРИСНИЦИМА'!$H$3:$H$508)</f>
        <v>0</v>
      </c>
      <c r="E78" s="292">
        <f t="shared" si="5"/>
        <v>0</v>
      </c>
      <c r="F78" s="92">
        <f>SUMIF('ПО КОРИСНИЦИМА'!$G$3:$G$508,"Свега за пројекат 1502-П11:",'ПО КОРИСНИЦИМА'!$I$3:$I$508)</f>
        <v>0</v>
      </c>
      <c r="G78" s="291">
        <f t="shared" si="0"/>
        <v>0</v>
      </c>
      <c r="H78" s="293"/>
    </row>
    <row r="79" spans="1:8" hidden="1">
      <c r="A79" s="96"/>
      <c r="B79" s="91" t="s">
        <v>4098</v>
      </c>
      <c r="C79" s="262" t="str">
        <f>IFERROR(VLOOKUP(B79,'ПО КОРИСНИЦИМА'!$C$3:$J$508,5,FALSE),"")</f>
        <v/>
      </c>
      <c r="D79" s="280">
        <f>SUMIF('ПО КОРИСНИЦИМА'!$G$3:$G$508,"Свега за пројекат 1502-П12:",'ПО КОРИСНИЦИМА'!$H$3:$H$508)</f>
        <v>0</v>
      </c>
      <c r="E79" s="292">
        <f t="shared" si="5"/>
        <v>0</v>
      </c>
      <c r="F79" s="92">
        <f>SUMIF('ПО КОРИСНИЦИМА'!$G$3:$G$508,"Свега за пројекат 1502-П12:",'ПО КОРИСНИЦИМА'!$I$3:$I$508)</f>
        <v>0</v>
      </c>
      <c r="G79" s="291">
        <f t="shared" si="0"/>
        <v>0</v>
      </c>
      <c r="H79" s="293"/>
    </row>
    <row r="80" spans="1:8" hidden="1">
      <c r="A80" s="96"/>
      <c r="B80" s="91" t="s">
        <v>4099</v>
      </c>
      <c r="C80" s="262" t="str">
        <f>IFERROR(VLOOKUP(B80,'ПО КОРИСНИЦИМА'!$C$3:$J$508,5,FALSE),"")</f>
        <v/>
      </c>
      <c r="D80" s="280">
        <f>SUMIF('ПО КОРИСНИЦИМА'!$G$3:$G$508,"Свега за пројекат 1502-П13:",'ПО КОРИСНИЦИМА'!$H$3:$H$508)</f>
        <v>0</v>
      </c>
      <c r="E80" s="292">
        <f t="shared" si="5"/>
        <v>0</v>
      </c>
      <c r="F80" s="92">
        <f>SUMIF('ПО КОРИСНИЦИМА'!$G$3:$G$508,"Свега за пројекат 1502-П13:",'ПО КОРИСНИЦИМА'!$I$3:$I$508)</f>
        <v>0</v>
      </c>
      <c r="G80" s="291">
        <f t="shared" si="0"/>
        <v>0</v>
      </c>
      <c r="H80" s="293"/>
    </row>
    <row r="81" spans="1:8" hidden="1">
      <c r="A81" s="96"/>
      <c r="B81" s="91" t="s">
        <v>4100</v>
      </c>
      <c r="C81" s="262" t="str">
        <f>IFERROR(VLOOKUP(B81,'ПО КОРИСНИЦИМА'!$C$3:$J$508,5,FALSE),"")</f>
        <v/>
      </c>
      <c r="D81" s="280">
        <f>SUMIF('ПО КОРИСНИЦИМА'!$G$3:$G$508,"Свега за пројекат 1502-П14:",'ПО КОРИСНИЦИМА'!$H$3:$H$508)</f>
        <v>0</v>
      </c>
      <c r="E81" s="292">
        <f t="shared" si="5"/>
        <v>0</v>
      </c>
      <c r="F81" s="92">
        <f>SUMIF('ПО КОРИСНИЦИМА'!$G$3:$G$508,"Свега за пројекат 1502-П14:",'ПО КОРИСНИЦИМА'!$I$3:$I$508)</f>
        <v>0</v>
      </c>
      <c r="G81" s="291">
        <f t="shared" si="0"/>
        <v>0</v>
      </c>
      <c r="H81" s="293"/>
    </row>
    <row r="82" spans="1:8" hidden="1">
      <c r="A82" s="96"/>
      <c r="B82" s="91" t="s">
        <v>4101</v>
      </c>
      <c r="C82" s="262" t="str">
        <f>IFERROR(VLOOKUP(B82,'ПО КОРИСНИЦИМА'!$C$3:$J$508,5,FALSE),"")</f>
        <v/>
      </c>
      <c r="D82" s="280">
        <f>SUMIF('ПО КОРИСНИЦИМА'!$G$3:$G$508,"Свега за пројекат 1502-П15:",'ПО КОРИСНИЦИМА'!$H$3:$H$508)</f>
        <v>0</v>
      </c>
      <c r="E82" s="292">
        <f t="shared" si="5"/>
        <v>0</v>
      </c>
      <c r="F82" s="92">
        <f>SUMIF('ПО КОРИСНИЦИМА'!$G$3:$G$508,"Свега за пројекат 1502-П15:",'ПО КОРИСНИЦИМА'!$I$3:$I$508)</f>
        <v>0</v>
      </c>
      <c r="G82" s="291">
        <f t="shared" si="0"/>
        <v>0</v>
      </c>
      <c r="H82" s="293"/>
    </row>
    <row r="83" spans="1:8" hidden="1">
      <c r="A83" s="96"/>
      <c r="B83" s="91" t="s">
        <v>4102</v>
      </c>
      <c r="C83" s="262" t="str">
        <f>IFERROR(VLOOKUP(B83,'ПО КОРИСНИЦИМА'!$C$3:$J$508,5,FALSE),"")</f>
        <v/>
      </c>
      <c r="D83" s="280">
        <f>SUMIF('ПО КОРИСНИЦИМА'!$G$3:$G$508,"Свега за пројекат 1502-П16:",'ПО КОРИСНИЦИМА'!$H$3:$H$508)</f>
        <v>0</v>
      </c>
      <c r="E83" s="292">
        <f t="shared" si="5"/>
        <v>0</v>
      </c>
      <c r="F83" s="92">
        <f>SUMIF('ПО КОРИСНИЦИМА'!$G$3:$G$508,"Свега за пројекат 1502-П16:",'ПО КОРИСНИЦИМА'!$I$3:$I$508)</f>
        <v>0</v>
      </c>
      <c r="G83" s="291">
        <f t="shared" si="0"/>
        <v>0</v>
      </c>
      <c r="H83" s="293"/>
    </row>
    <row r="84" spans="1:8" hidden="1">
      <c r="A84" s="96"/>
      <c r="B84" s="91" t="s">
        <v>4103</v>
      </c>
      <c r="C84" s="262" t="str">
        <f>IFERROR(VLOOKUP(B84,'ПО КОРИСНИЦИМА'!$C$3:$J$508,5,FALSE),"")</f>
        <v/>
      </c>
      <c r="D84" s="280">
        <f>SUMIF('ПО КОРИСНИЦИМА'!$G$3:$G$508,"Свега за пројекат 1502-П17:",'ПО КОРИСНИЦИМА'!$H$3:$H$508)</f>
        <v>0</v>
      </c>
      <c r="E84" s="292">
        <f t="shared" si="5"/>
        <v>0</v>
      </c>
      <c r="F84" s="92">
        <f>SUMIF('ПО КОРИСНИЦИМА'!$G$3:$G$508,"Свега за пројекат 1502-П17:",'ПО КОРИСНИЦИМА'!$I$3:$I$508)</f>
        <v>0</v>
      </c>
      <c r="G84" s="291">
        <f t="shared" si="0"/>
        <v>0</v>
      </c>
      <c r="H84" s="293"/>
    </row>
    <row r="85" spans="1:8" hidden="1">
      <c r="A85" s="96"/>
      <c r="B85" s="91" t="s">
        <v>4104</v>
      </c>
      <c r="C85" s="262" t="str">
        <f>IFERROR(VLOOKUP(B85,'ПО КОРИСНИЦИМА'!$C$3:$J$508,5,FALSE),"")</f>
        <v/>
      </c>
      <c r="D85" s="280">
        <f>SUMIF('ПО КОРИСНИЦИМА'!$G$3:$G$508,"Свега за пројекат 1502-П18:",'ПО КОРИСНИЦИМА'!$H$3:$H$508)</f>
        <v>0</v>
      </c>
      <c r="E85" s="292">
        <f t="shared" si="5"/>
        <v>0</v>
      </c>
      <c r="F85" s="92">
        <f>SUMIF('ПО КОРИСНИЦИМА'!$G$3:$G$508,"Свега за пројекат 1502-П18:",'ПО КОРИСНИЦИМА'!$I$3:$I$508)</f>
        <v>0</v>
      </c>
      <c r="G85" s="291">
        <f t="shared" si="0"/>
        <v>0</v>
      </c>
      <c r="H85" s="293"/>
    </row>
    <row r="86" spans="1:8" hidden="1">
      <c r="A86" s="96"/>
      <c r="B86" s="91" t="s">
        <v>4105</v>
      </c>
      <c r="C86" s="262" t="str">
        <f>IFERROR(VLOOKUP(B86,'ПО КОРИСНИЦИМА'!$C$3:$J$508,5,FALSE),"")</f>
        <v/>
      </c>
      <c r="D86" s="280">
        <f>SUMIF('ПО КОРИСНИЦИМА'!$G$3:$G$508,"Свега за пројекат 1502-П19:",'ПО КОРИСНИЦИМА'!$H$3:$H$508)</f>
        <v>0</v>
      </c>
      <c r="E86" s="292">
        <f t="shared" si="5"/>
        <v>0</v>
      </c>
      <c r="F86" s="92">
        <f>SUMIF('ПО КОРИСНИЦИМА'!$G$3:$G$508,"Свега за пројекат 1502-П19:",'ПО КОРИСНИЦИМА'!$I$3:$I$508)</f>
        <v>0</v>
      </c>
      <c r="G86" s="291">
        <f t="shared" si="0"/>
        <v>0</v>
      </c>
      <c r="H86" s="293"/>
    </row>
    <row r="87" spans="1:8" hidden="1">
      <c r="A87" s="96"/>
      <c r="B87" s="91" t="s">
        <v>4106</v>
      </c>
      <c r="C87" s="262" t="str">
        <f>IFERROR(VLOOKUP(B87,'ПО КОРИСНИЦИМА'!$C$3:$J$508,5,FALSE),"")</f>
        <v/>
      </c>
      <c r="D87" s="280">
        <f>SUMIF('ПО КОРИСНИЦИМА'!$G$3:$G$508,"Свега за пројекат 1502-П20:",'ПО КОРИСНИЦИМА'!$H$3:$H$508)</f>
        <v>0</v>
      </c>
      <c r="E87" s="292">
        <f t="shared" si="5"/>
        <v>0</v>
      </c>
      <c r="F87" s="92">
        <f>SUMIF('ПО КОРИСНИЦИМА'!$G$3:$G$508,"Свега за пројекат 1502-П20:",'ПО КОРИСНИЦИМА'!$I$3:$I$508)</f>
        <v>0</v>
      </c>
      <c r="G87" s="291">
        <f t="shared" si="0"/>
        <v>0</v>
      </c>
      <c r="H87" s="293"/>
    </row>
    <row r="88" spans="1:8" hidden="1">
      <c r="A88" s="96"/>
      <c r="B88" s="91" t="s">
        <v>4107</v>
      </c>
      <c r="C88" s="262" t="str">
        <f>IFERROR(VLOOKUP(B88,'ПО КОРИСНИЦИМА'!$C$3:$J$508,5,FALSE),"")</f>
        <v/>
      </c>
      <c r="D88" s="280">
        <f>SUMIF('ПО КОРИСНИЦИМА'!$G$3:$G$508,"Свега за пројекат 1502-П21:",'ПО КОРИСНИЦИМА'!$H$3:$H$508)</f>
        <v>0</v>
      </c>
      <c r="E88" s="292">
        <f t="shared" si="5"/>
        <v>0</v>
      </c>
      <c r="F88" s="92">
        <f>SUMIF('ПО КОРИСНИЦИМА'!$G$3:$G$508,"Свега за пројекат 1502-П21:",'ПО КОРИСНИЦИМА'!$I$3:$I$508)</f>
        <v>0</v>
      </c>
      <c r="G88" s="291">
        <f t="shared" si="0"/>
        <v>0</v>
      </c>
      <c r="H88" s="293"/>
    </row>
    <row r="89" spans="1:8" hidden="1">
      <c r="A89" s="96"/>
      <c r="B89" s="91" t="s">
        <v>4108</v>
      </c>
      <c r="C89" s="262" t="str">
        <f>IFERROR(VLOOKUP(B89,'ПО КОРИСНИЦИМА'!$C$3:$J$508,5,FALSE),"")</f>
        <v/>
      </c>
      <c r="D89" s="280">
        <f>SUMIF('ПО КОРИСНИЦИМА'!$G$3:$G$508,"Свега за пројекат 1502-П22:",'ПО КОРИСНИЦИМА'!$H$3:$H$508)</f>
        <v>0</v>
      </c>
      <c r="E89" s="292">
        <f t="shared" si="5"/>
        <v>0</v>
      </c>
      <c r="F89" s="92">
        <f>SUMIF('ПО КОРИСНИЦИМА'!$G$3:$G$508,"Свега за пројекат 1502-П22:",'ПО КОРИСНИЦИМА'!$I$3:$I$508)</f>
        <v>0</v>
      </c>
      <c r="G89" s="291">
        <f t="shared" si="0"/>
        <v>0</v>
      </c>
      <c r="H89" s="294"/>
    </row>
    <row r="90" spans="1:8" hidden="1">
      <c r="A90" s="96"/>
      <c r="B90" s="91" t="s">
        <v>4109</v>
      </c>
      <c r="C90" s="262" t="str">
        <f>IFERROR(VLOOKUP(B90,'ПО КОРИСНИЦИМА'!$C$3:$J$508,5,FALSE),"")</f>
        <v/>
      </c>
      <c r="D90" s="280">
        <f>SUMIF('ПО КОРИСНИЦИМА'!$G$3:$G$508,"Свега за пројекат 1502-П23:",'ПО КОРИСНИЦИМА'!$H$3:$H$508)</f>
        <v>0</v>
      </c>
      <c r="E90" s="292">
        <f t="shared" si="5"/>
        <v>0</v>
      </c>
      <c r="F90" s="92">
        <f>SUMIF('ПО КОРИСНИЦИМА'!$G$3:$G$508,"Свега за пројекат 1502-П23:",'ПО КОРИСНИЦИМА'!$I$3:$I$508)</f>
        <v>0</v>
      </c>
      <c r="G90" s="291">
        <f t="shared" si="0"/>
        <v>0</v>
      </c>
      <c r="H90" s="294"/>
    </row>
    <row r="91" spans="1:8" hidden="1">
      <c r="A91" s="233"/>
      <c r="B91" s="91" t="s">
        <v>4110</v>
      </c>
      <c r="C91" s="262" t="str">
        <f>IFERROR(VLOOKUP(B91,'ПО КОРИСНИЦИМА'!$C$3:$J$508,5,FALSE),"")</f>
        <v/>
      </c>
      <c r="D91" s="280">
        <f>SUMIF('ПО КОРИСНИЦИМА'!$G$3:$G$508,"Свега за пројекат 1502-П24:",'ПО КОРИСНИЦИМА'!$H$3:$H$508)</f>
        <v>0</v>
      </c>
      <c r="E91" s="292">
        <f t="shared" si="5"/>
        <v>0</v>
      </c>
      <c r="F91" s="92">
        <f>SUMIF('ПО КОРИСНИЦИМА'!$G$3:$G$508,"Свега за пројекат 1502-П24:",'ПО КОРИСНИЦИМА'!$I$3:$I$508)</f>
        <v>0</v>
      </c>
      <c r="G91" s="291">
        <f t="shared" si="0"/>
        <v>0</v>
      </c>
      <c r="H91" s="295"/>
    </row>
    <row r="92" spans="1:8" s="94" customFormat="1" ht="14.25">
      <c r="A92" s="229" t="s">
        <v>3568</v>
      </c>
      <c r="B92" s="230"/>
      <c r="C92" s="260" t="s">
        <v>4414</v>
      </c>
      <c r="D92" s="284">
        <f>SUM(D93:D105)</f>
        <v>26900000</v>
      </c>
      <c r="E92" s="285">
        <f t="shared" si="5"/>
        <v>3.2965686274509805E-2</v>
      </c>
      <c r="F92" s="286">
        <f>SUM(F93:F105)</f>
        <v>1000000</v>
      </c>
      <c r="G92" s="284">
        <f t="shared" si="0"/>
        <v>27900000</v>
      </c>
      <c r="H92" s="286"/>
    </row>
    <row r="93" spans="1:8" ht="25.5" customHeight="1">
      <c r="A93" s="227"/>
      <c r="B93" s="234" t="s">
        <v>3980</v>
      </c>
      <c r="C93" s="719" t="s">
        <v>4415</v>
      </c>
      <c r="D93" s="288">
        <f>SUMIF('ПО КОРИСНИЦИМА'!$C$3:$C$547,B93,'ПО КОРИСНИЦИМА'!$H$3:$H$547)</f>
        <v>26900000</v>
      </c>
      <c r="E93" s="289">
        <f t="shared" si="5"/>
        <v>3.2965686274509805E-2</v>
      </c>
      <c r="F93" s="413">
        <f>SUMIF('ПО КОРИСНИЦИМА'!$C$3:$C$547,B93,'ПО КОРИСНИЦИМА'!$I$3:$I$547)</f>
        <v>1000000</v>
      </c>
      <c r="G93" s="288">
        <f t="shared" si="0"/>
        <v>27900000</v>
      </c>
      <c r="H93" s="290"/>
    </row>
    <row r="94" spans="1:8" hidden="1">
      <c r="A94" s="91"/>
      <c r="B94" s="96" t="s">
        <v>3978</v>
      </c>
      <c r="C94" s="262" t="s">
        <v>4416</v>
      </c>
      <c r="D94" s="288">
        <f>SUMIF('ПО КОРИСНИЦИМА'!$C$3:$C$547,B94,'ПО КОРИСНИЦИМА'!$H$3:$H$547)</f>
        <v>0</v>
      </c>
      <c r="E94" s="292">
        <f t="shared" si="5"/>
        <v>0</v>
      </c>
      <c r="F94" s="413">
        <f>SUMIF('ПО КОРИСНИЦИМА'!$C$3:$C$547,B94,'ПО КОРИСНИЦИМА'!$I$3:$I$547)</f>
        <v>0</v>
      </c>
      <c r="G94" s="291">
        <f t="shared" si="0"/>
        <v>0</v>
      </c>
      <c r="H94" s="294"/>
    </row>
    <row r="95" spans="1:8" hidden="1">
      <c r="A95" s="96"/>
      <c r="B95" s="95" t="s">
        <v>4501</v>
      </c>
      <c r="C95" s="262" t="str">
        <f>IFERROR(VLOOKUP(B95,'ПО КОРИСНИЦИМА'!$C$3:$J$508,5,FALSE),"")</f>
        <v/>
      </c>
      <c r="D95" s="280">
        <f>SUMIF('ПО КОРИСНИЦИМА'!$G$3:$G$508,"Свега за пројекат 0101-П6:",'ПО КОРИСНИЦИМА'!$H$3:$H$508)</f>
        <v>0</v>
      </c>
      <c r="E95" s="292">
        <f t="shared" si="5"/>
        <v>0</v>
      </c>
      <c r="F95" s="92">
        <f>SUMIF('ПО КОРИСНИЦИМА'!$G$3:$G$508,"Свега за пројекат 0101-П6:",'ПО КОРИСНИЦИМА'!$I$3:$I$508)</f>
        <v>0</v>
      </c>
      <c r="G95" s="291">
        <f t="shared" ref="G95:G105" si="6">D95+F95</f>
        <v>0</v>
      </c>
      <c r="H95" s="293"/>
    </row>
    <row r="96" spans="1:8" hidden="1">
      <c r="A96" s="96"/>
      <c r="B96" s="95" t="s">
        <v>4502</v>
      </c>
      <c r="C96" s="262" t="str">
        <f>IFERROR(VLOOKUP(B96,'ПО КОРИСНИЦИМА'!$C$3:$J$508,5,FALSE),"")</f>
        <v/>
      </c>
      <c r="D96" s="280">
        <f>SUMIF('ПО КОРИСНИЦИМА'!$G$3:$G$508,"Свега за пројекат 0101-П7:",'ПО КОРИСНИЦИМА'!$H$3:$H$508)</f>
        <v>0</v>
      </c>
      <c r="E96" s="292">
        <f t="shared" si="5"/>
        <v>0</v>
      </c>
      <c r="F96" s="92">
        <f>SUMIF('ПО КОРИСНИЦИМА'!$G$3:$G$508,"Свега за пројекат 0101-П7:",'ПО КОРИСНИЦИМА'!$I$3:$I$508)</f>
        <v>0</v>
      </c>
      <c r="G96" s="291">
        <f t="shared" si="6"/>
        <v>0</v>
      </c>
      <c r="H96" s="293"/>
    </row>
    <row r="97" spans="1:8" hidden="1">
      <c r="A97" s="96"/>
      <c r="B97" s="95" t="s">
        <v>4503</v>
      </c>
      <c r="C97" s="262" t="str">
        <f>IFERROR(VLOOKUP(B97,'ПО КОРИСНИЦИМА'!$C$3:$J$508,5,FALSE),"")</f>
        <v/>
      </c>
      <c r="D97" s="280">
        <f>SUMIF('ПО КОРИСНИЦИМА'!$G$3:$G$508,"Свега за пројекат 0101-П8:",'ПО КОРИСНИЦИМА'!$H$3:$H$508)</f>
        <v>0</v>
      </c>
      <c r="E97" s="292">
        <f t="shared" si="5"/>
        <v>0</v>
      </c>
      <c r="F97" s="92">
        <f>SUMIF('ПО КОРИСНИЦИМА'!$G$3:$G$508,"Свега за пројекат 0101-П8:",'ПО КОРИСНИЦИМА'!$I$3:$I$508)</f>
        <v>0</v>
      </c>
      <c r="G97" s="291">
        <f t="shared" si="6"/>
        <v>0</v>
      </c>
      <c r="H97" s="293"/>
    </row>
    <row r="98" spans="1:8" hidden="1">
      <c r="A98" s="96"/>
      <c r="B98" s="95" t="s">
        <v>4504</v>
      </c>
      <c r="C98" s="262" t="str">
        <f>IFERROR(VLOOKUP(B98,'ПО КОРИСНИЦИМА'!$C$3:$J$508,5,FALSE),"")</f>
        <v/>
      </c>
      <c r="D98" s="280">
        <f>SUMIF('ПО КОРИСНИЦИМА'!$G$3:$G$508,"Свега за пројекат 0101-П9:",'ПО КОРИСНИЦИМА'!$H$3:$H$508)</f>
        <v>0</v>
      </c>
      <c r="E98" s="292">
        <f t="shared" si="5"/>
        <v>0</v>
      </c>
      <c r="F98" s="92">
        <f>SUMIF('ПО КОРИСНИЦИМА'!$G$3:$G$508,"Свега за пројекат 0101-П9:",'ПО КОРИСНИЦИМА'!$I$3:$I$508)</f>
        <v>0</v>
      </c>
      <c r="G98" s="291">
        <f t="shared" si="6"/>
        <v>0</v>
      </c>
      <c r="H98" s="293"/>
    </row>
    <row r="99" spans="1:8" hidden="1">
      <c r="A99" s="96"/>
      <c r="B99" s="95" t="s">
        <v>4505</v>
      </c>
      <c r="C99" s="262" t="str">
        <f>IFERROR(VLOOKUP(B99,'ПО КОРИСНИЦИМА'!$C$3:$J$508,5,FALSE),"")</f>
        <v/>
      </c>
      <c r="D99" s="280">
        <f>SUMIF('ПО КОРИСНИЦИМА'!$G$3:$G$508,"Свега за пројекат 0101-П10:",'ПО КОРИСНИЦИМА'!$H$3:$H$508)</f>
        <v>0</v>
      </c>
      <c r="E99" s="292">
        <f t="shared" si="5"/>
        <v>0</v>
      </c>
      <c r="F99" s="92">
        <f>SUMIF('ПО КОРИСНИЦИМА'!$G$3:$G$508,"Свега за пројекат 0101-П10:",'ПО КОРИСНИЦИМА'!$I$3:$I$508)</f>
        <v>0</v>
      </c>
      <c r="G99" s="291">
        <f t="shared" si="6"/>
        <v>0</v>
      </c>
      <c r="H99" s="293"/>
    </row>
    <row r="100" spans="1:8" hidden="1">
      <c r="A100" s="96"/>
      <c r="B100" s="95" t="s">
        <v>4111</v>
      </c>
      <c r="C100" s="262" t="str">
        <f>IFERROR(VLOOKUP(B100,'ПО КОРИСНИЦИМА'!$C$3:$J$508,5,FALSE),"")</f>
        <v/>
      </c>
      <c r="D100" s="280">
        <f>SUMIF('ПО КОРИСНИЦИМА'!$G$3:$G$508,"Свега за пројекат 0101-П11:",'ПО КОРИСНИЦИМА'!$H$3:$H$508)</f>
        <v>0</v>
      </c>
      <c r="E100" s="292">
        <f t="shared" si="5"/>
        <v>0</v>
      </c>
      <c r="F100" s="92">
        <f>SUMIF('ПО КОРИСНИЦИМА'!$G$3:$G$508,"Свега за пројекат 0101-П11:",'ПО КОРИСНИЦИМА'!$I$3:$I$508)</f>
        <v>0</v>
      </c>
      <c r="G100" s="291">
        <f t="shared" si="6"/>
        <v>0</v>
      </c>
      <c r="H100" s="293"/>
    </row>
    <row r="101" spans="1:8" hidden="1">
      <c r="A101" s="96"/>
      <c r="B101" s="95" t="s">
        <v>4112</v>
      </c>
      <c r="C101" s="262" t="str">
        <f>IFERROR(VLOOKUP(B101,'ПО КОРИСНИЦИМА'!$C$3:$J$508,5,FALSE),"")</f>
        <v/>
      </c>
      <c r="D101" s="280">
        <f>SUMIF('ПО КОРИСНИЦИМА'!$G$3:$G$508,"Свега за пројекат 0101-П12:",'ПО КОРИСНИЦИМА'!$H$3:$H$508)</f>
        <v>0</v>
      </c>
      <c r="E101" s="292">
        <f t="shared" si="5"/>
        <v>0</v>
      </c>
      <c r="F101" s="92">
        <f>SUMIF('ПО КОРИСНИЦИМА'!$G$3:$G$508,"Свега за пројекат 0101-П12:",'ПО КОРИСНИЦИМА'!$I$3:$I$508)</f>
        <v>0</v>
      </c>
      <c r="G101" s="291">
        <f t="shared" si="6"/>
        <v>0</v>
      </c>
      <c r="H101" s="293"/>
    </row>
    <row r="102" spans="1:8" hidden="1">
      <c r="A102" s="96"/>
      <c r="B102" s="95" t="s">
        <v>4113</v>
      </c>
      <c r="C102" s="262" t="str">
        <f>IFERROR(VLOOKUP(B102,'ПО КОРИСНИЦИМА'!$C$3:$J$508,5,FALSE),"")</f>
        <v/>
      </c>
      <c r="D102" s="280">
        <f>SUMIF('ПО КОРИСНИЦИМА'!$G$3:$G$508,"Свега за пројекат 0101-П13:",'ПО КОРИСНИЦИМА'!$H$3:$H$508)</f>
        <v>0</v>
      </c>
      <c r="E102" s="292">
        <f t="shared" si="5"/>
        <v>0</v>
      </c>
      <c r="F102" s="92">
        <f>SUMIF('ПО КОРИСНИЦИМА'!$G$3:$G$508,"Свега за пројекат 0101-П13:",'ПО КОРИСНИЦИМА'!$I$3:$I$508)</f>
        <v>0</v>
      </c>
      <c r="G102" s="291">
        <f t="shared" si="6"/>
        <v>0</v>
      </c>
      <c r="H102" s="293"/>
    </row>
    <row r="103" spans="1:8" hidden="1">
      <c r="A103" s="96"/>
      <c r="B103" s="95" t="s">
        <v>4114</v>
      </c>
      <c r="C103" s="262" t="str">
        <f>IFERROR(VLOOKUP(B103,'ПО КОРИСНИЦИМА'!$C$3:$J$508,5,FALSE),"")</f>
        <v/>
      </c>
      <c r="D103" s="280">
        <f>SUMIF('ПО КОРИСНИЦИМА'!$G$3:$G$508,"Свега за пројекат 0101-П14:",'ПО КОРИСНИЦИМА'!$H$3:$H$508)</f>
        <v>0</v>
      </c>
      <c r="E103" s="292">
        <f t="shared" si="5"/>
        <v>0</v>
      </c>
      <c r="F103" s="92">
        <f>SUMIF('ПО КОРИСНИЦИМА'!$G$3:$G$508,"Свега за пројекат 0101-П14:",'ПО КОРИСНИЦИМА'!$I$3:$I$508)</f>
        <v>0</v>
      </c>
      <c r="G103" s="291">
        <f t="shared" si="6"/>
        <v>0</v>
      </c>
      <c r="H103" s="294"/>
    </row>
    <row r="104" spans="1:8" hidden="1">
      <c r="A104" s="96"/>
      <c r="B104" s="95" t="s">
        <v>4115</v>
      </c>
      <c r="C104" s="262" t="str">
        <f>IFERROR(VLOOKUP(B104,'ПО КОРИСНИЦИМА'!$C$3:$J$508,5,FALSE),"")</f>
        <v/>
      </c>
      <c r="D104" s="280">
        <f>SUMIF('ПО КОРИСНИЦИМА'!$G$3:$G$508,"Свега за пројекат 0101-П15:",'ПО КОРИСНИЦИМА'!$H$3:$H$508)</f>
        <v>0</v>
      </c>
      <c r="E104" s="292">
        <f t="shared" si="5"/>
        <v>0</v>
      </c>
      <c r="F104" s="92">
        <f>SUMIF('ПО КОРИСНИЦИМА'!$G$3:$G$508,"Свега за пројекат 0101-П15:",'ПО КОРИСНИЦИМА'!$I$3:$I$508)</f>
        <v>0</v>
      </c>
      <c r="G104" s="291">
        <f t="shared" si="6"/>
        <v>0</v>
      </c>
      <c r="H104" s="294"/>
    </row>
    <row r="105" spans="1:8" hidden="1">
      <c r="A105" s="233"/>
      <c r="B105" s="95" t="s">
        <v>4116</v>
      </c>
      <c r="C105" s="262" t="str">
        <f>IFERROR(VLOOKUP(B105,'ПО КОРИСНИЦИМА'!$C$3:$J$508,5,FALSE),"")</f>
        <v/>
      </c>
      <c r="D105" s="280">
        <f>SUMIF('ПО КОРИСНИЦИМА'!$G$3:$G$508,"Свега за пројекат 0101-П16:",'ПО КОРИСНИЦИМА'!$H$3:$H$508)</f>
        <v>0</v>
      </c>
      <c r="E105" s="292">
        <f t="shared" si="5"/>
        <v>0</v>
      </c>
      <c r="F105" s="92">
        <f>SUMIF('ПО КОРИСНИЦИМА'!$G$3:$G$508,"Свега за пројекат 0101-П16:",'ПО КОРИСНИЦИМА'!$I$3:$I$508)</f>
        <v>0</v>
      </c>
      <c r="G105" s="291">
        <f t="shared" si="6"/>
        <v>0</v>
      </c>
      <c r="H105" s="295"/>
    </row>
    <row r="106" spans="1:8" s="94" customFormat="1" ht="14.25">
      <c r="A106" s="229" t="s">
        <v>3571</v>
      </c>
      <c r="B106" s="230"/>
      <c r="C106" s="260" t="s">
        <v>3664</v>
      </c>
      <c r="D106" s="284">
        <f>SUM(D107:D123)</f>
        <v>38030000</v>
      </c>
      <c r="E106" s="285">
        <f t="shared" si="5"/>
        <v>4.6605392156862747E-2</v>
      </c>
      <c r="F106" s="286">
        <f>SUM(F107:F123)</f>
        <v>22900000</v>
      </c>
      <c r="G106" s="284">
        <f t="shared" si="0"/>
        <v>60930000</v>
      </c>
      <c r="H106" s="286"/>
    </row>
    <row r="107" spans="1:8">
      <c r="A107" s="227"/>
      <c r="B107" s="717" t="s">
        <v>3971</v>
      </c>
      <c r="C107" s="263" t="s">
        <v>4418</v>
      </c>
      <c r="D107" s="288">
        <f>SUMIF('ПО КОРИСНИЦИМА'!$C$3:$C$547,B107,'ПО КОРИСНИЦИМА'!$H$3:$H$547)</f>
        <v>2600000</v>
      </c>
      <c r="E107" s="289">
        <f t="shared" ref="E107:E141" si="7">IFERROR(D107/$D$341,"-")</f>
        <v>3.1862745098039215E-3</v>
      </c>
      <c r="F107" s="413">
        <f>SUMIF('ПО КОРИСНИЦИМА'!$C$3:$C$547,B107,'ПО КОРИСНИЦИМА'!$I$3:$I$547)</f>
        <v>0</v>
      </c>
      <c r="G107" s="288">
        <f t="shared" si="0"/>
        <v>2600000</v>
      </c>
      <c r="H107" s="290"/>
    </row>
    <row r="108" spans="1:8" hidden="1">
      <c r="A108" s="227"/>
      <c r="B108" s="718" t="s">
        <v>3972</v>
      </c>
      <c r="C108" s="263" t="s">
        <v>3975</v>
      </c>
      <c r="D108" s="288">
        <f>SUMIF('ПО КОРИСНИЦИМА'!$C$3:$C$547,B108,'ПО КОРИСНИЦИМА'!$H$3:$H$547)</f>
        <v>0</v>
      </c>
      <c r="E108" s="289">
        <f t="shared" si="7"/>
        <v>0</v>
      </c>
      <c r="F108" s="413">
        <f>SUMIF('ПО КОРИСНИЦИМА'!$C$3:$C$547,B108,'ПО КОРИСНИЦИМА'!$I$3:$I$547)</f>
        <v>0</v>
      </c>
      <c r="G108" s="288">
        <f t="shared" si="0"/>
        <v>0</v>
      </c>
      <c r="H108" s="290"/>
    </row>
    <row r="109" spans="1:8" hidden="1">
      <c r="A109" s="227"/>
      <c r="B109" s="718" t="s">
        <v>3974</v>
      </c>
      <c r="C109" s="263" t="s">
        <v>4387</v>
      </c>
      <c r="D109" s="288">
        <f>SUMIF('ПО КОРИСНИЦИМА'!$C$3:$C$547,B109,'ПО КОРИСНИЦИМА'!$H$3:$H$547)</f>
        <v>0</v>
      </c>
      <c r="E109" s="289">
        <f t="shared" si="7"/>
        <v>0</v>
      </c>
      <c r="F109" s="413">
        <f>SUMIF('ПО КОРИСНИЦИМА'!$C$3:$C$547,B109,'ПО КОРИСНИЦИМА'!$I$3:$I$547)</f>
        <v>0</v>
      </c>
      <c r="G109" s="288">
        <f t="shared" si="0"/>
        <v>0</v>
      </c>
      <c r="H109" s="290"/>
    </row>
    <row r="110" spans="1:8">
      <c r="A110" s="227"/>
      <c r="B110" s="717" t="s">
        <v>4386</v>
      </c>
      <c r="C110" s="263" t="s">
        <v>174</v>
      </c>
      <c r="D110" s="288">
        <f>SUMIF('ПО КОРИСНИЦИМА'!$C$3:$C$547,B110,'ПО КОРИСНИЦИМА'!$H$3:$H$547)</f>
        <v>4800000</v>
      </c>
      <c r="E110" s="289">
        <f t="shared" si="7"/>
        <v>5.8823529411764705E-3</v>
      </c>
      <c r="F110" s="413">
        <f>SUMIF('ПО КОРИСНИЦИМА'!$C$3:$C$547,B110,'ПО КОРИСНИЦИМА'!$I$3:$I$547)</f>
        <v>0</v>
      </c>
      <c r="G110" s="288">
        <f t="shared" si="0"/>
        <v>4800000</v>
      </c>
      <c r="H110" s="290"/>
    </row>
    <row r="111" spans="1:8">
      <c r="A111" s="227"/>
      <c r="B111" s="718" t="s">
        <v>4389</v>
      </c>
      <c r="C111" s="263" t="s">
        <v>3973</v>
      </c>
      <c r="D111" s="288">
        <f>SUMIF('ПО КОРИСНИЦИМА'!$C$3:$C$547,B111,'ПО КОРИСНИЦИМА'!$H$3:$H$547)</f>
        <v>14530000</v>
      </c>
      <c r="E111" s="289">
        <f t="shared" si="7"/>
        <v>1.7806372549019608E-2</v>
      </c>
      <c r="F111" s="413">
        <f>SUMIF('ПО КОРИСНИЦИМА'!$C$3:$C$547,B111,'ПО КОРИСНИЦИМА'!$I$3:$I$547)</f>
        <v>0</v>
      </c>
      <c r="G111" s="288">
        <f t="shared" si="0"/>
        <v>14530000</v>
      </c>
      <c r="H111" s="290"/>
    </row>
    <row r="112" spans="1:8" hidden="1">
      <c r="A112" s="91"/>
      <c r="B112" s="718" t="s">
        <v>4417</v>
      </c>
      <c r="C112" s="264" t="s">
        <v>4419</v>
      </c>
      <c r="D112" s="288">
        <f>SUMIF('ПО КОРИСНИЦИМА'!$C$3:$C$547,B112,'ПО КОРИСНИЦИМА'!$H$3:$H$547)</f>
        <v>0</v>
      </c>
      <c r="E112" s="292">
        <f t="shared" si="7"/>
        <v>0</v>
      </c>
      <c r="F112" s="413">
        <f>SUMIF('ПО КОРИСНИЦИМА'!$C$3:$C$547,B112,'ПО КОРИСНИЦИМА'!$I$3:$I$547)</f>
        <v>0</v>
      </c>
      <c r="G112" s="288">
        <f t="shared" si="0"/>
        <v>0</v>
      </c>
      <c r="H112" s="294"/>
    </row>
    <row r="113" spans="1:8" ht="42" customHeight="1">
      <c r="A113" s="91"/>
      <c r="B113" s="717" t="s">
        <v>4388</v>
      </c>
      <c r="C113" s="629" t="s">
        <v>4487</v>
      </c>
      <c r="D113" s="288">
        <f>SUMIF('ПО КОРИСНИЦИМА'!$C$3:$C$547,B113,'ПО КОРИСНИЦИМА'!$H$3:$H$547)</f>
        <v>12000000</v>
      </c>
      <c r="E113" s="292">
        <f t="shared" si="7"/>
        <v>1.4705882352941176E-2</v>
      </c>
      <c r="F113" s="413">
        <f>SUMIF('ПО КОРИСНИЦИМА'!$C$3:$C$547,B113,'ПО КОРИСНИЦИМА'!$I$3:$I$547)</f>
        <v>0</v>
      </c>
      <c r="G113" s="288">
        <f t="shared" si="0"/>
        <v>12000000</v>
      </c>
      <c r="H113" s="294"/>
    </row>
    <row r="114" spans="1:8" ht="26.25">
      <c r="A114" s="91"/>
      <c r="B114" s="718" t="s">
        <v>4506</v>
      </c>
      <c r="C114" s="631" t="str">
        <f>IFERROR(VLOOKUP(B114,'ПО КОРИСНИЦИМА'!$C$3:$J$508,5,FALSE),"")</f>
        <v>Пројекат "Прекогранична сарадња, управљање животном средином у области отпадних вода"</v>
      </c>
      <c r="D114" s="288">
        <f>SUMIF('ПО КОРИСНИЦИМА'!$C$3:$C$547,B114,'ПО КОРИСНИЦИМА'!$H$3:$H$547)</f>
        <v>4100000</v>
      </c>
      <c r="E114" s="292">
        <f t="shared" ref="E114" si="8">IFERROR(D114/$D$341,"-")</f>
        <v>5.024509803921569E-3</v>
      </c>
      <c r="F114" s="413">
        <f>SUMIF('ПО КОРИСНИЦИМА'!$C$3:$C$547,B114,'ПО КОРИСНИЦИМА'!$I$3:$I$547)</f>
        <v>22900000</v>
      </c>
      <c r="G114" s="288">
        <f t="shared" ref="G114" si="9">D114+F114</f>
        <v>27000000</v>
      </c>
      <c r="H114" s="293"/>
    </row>
    <row r="115" spans="1:8" hidden="1">
      <c r="A115" s="91"/>
      <c r="B115" s="718" t="s">
        <v>4507</v>
      </c>
      <c r="C115" s="262" t="str">
        <f>IFERROR(VLOOKUP(B115,'ПО КОРИСНИЦИМА'!$C$3:$J$508,5,FALSE),"")</f>
        <v/>
      </c>
      <c r="D115" s="280">
        <f>SUMIF('ПО КОРИСНИЦИМА'!$G$3:$G$508,"Свега за пројекат 0401-П7:",'ПО КОРИСНИЦИМА'!$H$3:$H$508)</f>
        <v>0</v>
      </c>
      <c r="E115" s="292">
        <f t="shared" si="7"/>
        <v>0</v>
      </c>
      <c r="F115" s="92">
        <f>SUMIF('ПО КОРИСНИЦИМА'!$G$3:$G$508,"Свега за пројекат 0401-П7:",'ПО КОРИСНИЦИМА'!$I$3:$I$508)</f>
        <v>0</v>
      </c>
      <c r="G115" s="291">
        <f t="shared" si="0"/>
        <v>0</v>
      </c>
      <c r="H115" s="293"/>
    </row>
    <row r="116" spans="1:8" hidden="1">
      <c r="A116" s="91"/>
      <c r="B116" s="718" t="s">
        <v>4508</v>
      </c>
      <c r="C116" s="262" t="str">
        <f>IFERROR(VLOOKUP(B116,'ПО КОРИСНИЦИМА'!$C$3:$J$508,5,FALSE),"")</f>
        <v/>
      </c>
      <c r="D116" s="280">
        <f>SUMIF('ПО КОРИСНИЦИМА'!$G$3:$G$508,"Свега за пројекат 0401-П8:",'ПО КОРИСНИЦИМА'!$H$3:$H$508)</f>
        <v>0</v>
      </c>
      <c r="E116" s="292">
        <f t="shared" si="7"/>
        <v>0</v>
      </c>
      <c r="F116" s="92">
        <f>SUMIF('ПО КОРИСНИЦИМА'!$G$3:$G$508,"Свега за пројекат 0401-П8:",'ПО КОРИСНИЦИМА'!$I$3:$I$508)</f>
        <v>0</v>
      </c>
      <c r="G116" s="291">
        <f t="shared" si="0"/>
        <v>0</v>
      </c>
      <c r="H116" s="293"/>
    </row>
    <row r="117" spans="1:8" hidden="1">
      <c r="A117" s="91"/>
      <c r="B117" s="718" t="s">
        <v>4509</v>
      </c>
      <c r="C117" s="262" t="str">
        <f>IFERROR(VLOOKUP(B117,'ПО КОРИСНИЦИМА'!$C$3:$J$508,5,FALSE),"")</f>
        <v/>
      </c>
      <c r="D117" s="280">
        <f>SUMIF('ПО КОРИСНИЦИМА'!$G$3:$G$508,"Свега за пројекат 0401-П9:",'ПО КОРИСНИЦИМА'!$H$3:$H$508)</f>
        <v>0</v>
      </c>
      <c r="E117" s="292">
        <f t="shared" si="7"/>
        <v>0</v>
      </c>
      <c r="F117" s="92">
        <f>SUMIF('ПО КОРИСНИЦИМА'!$G$3:$G$508,"Свега за пројекат 0401-П9:",'ПО КОРИСНИЦИМА'!$I$3:$I$508)</f>
        <v>0</v>
      </c>
      <c r="G117" s="291">
        <f t="shared" si="0"/>
        <v>0</v>
      </c>
      <c r="H117" s="293"/>
    </row>
    <row r="118" spans="1:8" hidden="1">
      <c r="A118" s="91"/>
      <c r="B118" s="718" t="s">
        <v>4117</v>
      </c>
      <c r="C118" s="262" t="str">
        <f>IFERROR(VLOOKUP(B118,'ПО КОРИСНИЦИМА'!$C$3:$J$508,5,FALSE),"")</f>
        <v/>
      </c>
      <c r="D118" s="280">
        <f>SUMIF('ПО КОРИСНИЦИМА'!$G$3:$G$508,"Свега за пројекат 0401-П10:",'ПО КОРИСНИЦИМА'!$H$3:$H$508)</f>
        <v>0</v>
      </c>
      <c r="E118" s="292">
        <f t="shared" si="7"/>
        <v>0</v>
      </c>
      <c r="F118" s="92">
        <f>SUMIF('ПО КОРИСНИЦИМА'!$G$3:$G$508,"Свега за пројекат 0401-П10:",'ПО КОРИСНИЦИМА'!$I$3:$I$508)</f>
        <v>0</v>
      </c>
      <c r="G118" s="291">
        <f t="shared" si="0"/>
        <v>0</v>
      </c>
      <c r="H118" s="293"/>
    </row>
    <row r="119" spans="1:8" hidden="1">
      <c r="A119" s="91"/>
      <c r="B119" s="718" t="s">
        <v>4118</v>
      </c>
      <c r="C119" s="262" t="str">
        <f>IFERROR(VLOOKUP(B119,'ПО КОРИСНИЦИМА'!$C$3:$J$508,5,FALSE),"")</f>
        <v/>
      </c>
      <c r="D119" s="280">
        <f>SUMIF('ПО КОРИСНИЦИМА'!$G$3:$G$508,"Свега за пројекат 0401-П11:",'ПО КОРИСНИЦИМА'!$H$3:$H$508)</f>
        <v>0</v>
      </c>
      <c r="E119" s="292">
        <f t="shared" si="7"/>
        <v>0</v>
      </c>
      <c r="F119" s="92">
        <f>SUMIF('ПО КОРИСНИЦИМА'!$G$3:$G$508,"Свега за пројекат 0401-П11:",'ПО КОРИСНИЦИМА'!$I$3:$I$508)</f>
        <v>0</v>
      </c>
      <c r="G119" s="291">
        <f t="shared" si="0"/>
        <v>0</v>
      </c>
      <c r="H119" s="293"/>
    </row>
    <row r="120" spans="1:8" hidden="1">
      <c r="A120" s="91"/>
      <c r="B120" s="718" t="s">
        <v>4119</v>
      </c>
      <c r="C120" s="262" t="str">
        <f>IFERROR(VLOOKUP(B120,'ПО КОРИСНИЦИМА'!$C$3:$J$508,5,FALSE),"")</f>
        <v/>
      </c>
      <c r="D120" s="280">
        <f>SUMIF('ПО КОРИСНИЦИМА'!$G$3:$G$508,"Свега за пројекат 0401-П12:",'ПО КОРИСНИЦИМА'!$H$3:$H$508)</f>
        <v>0</v>
      </c>
      <c r="E120" s="292">
        <f t="shared" si="7"/>
        <v>0</v>
      </c>
      <c r="F120" s="92">
        <f>SUMIF('ПО КОРИСНИЦИМА'!$G$3:$G$508,"Свега за пројекат 0401-П12:",'ПО КОРИСНИЦИМА'!$I$3:$I$508)</f>
        <v>0</v>
      </c>
      <c r="G120" s="291">
        <f t="shared" si="0"/>
        <v>0</v>
      </c>
      <c r="H120" s="294"/>
    </row>
    <row r="121" spans="1:8" hidden="1">
      <c r="A121" s="91"/>
      <c r="B121" s="718" t="s">
        <v>4120</v>
      </c>
      <c r="C121" s="262" t="str">
        <f>IFERROR(VLOOKUP(B121,'ПО КОРИСНИЦИМА'!$C$3:$J$508,5,FALSE),"")</f>
        <v/>
      </c>
      <c r="D121" s="280">
        <f>SUMIF('ПО КОРИСНИЦИМА'!$G$3:$G$508,"Свега за пројекат 0401-П13:",'ПО КОРИСНИЦИМА'!$H$3:$H$508)</f>
        <v>0</v>
      </c>
      <c r="E121" s="292">
        <f t="shared" si="7"/>
        <v>0</v>
      </c>
      <c r="F121" s="92">
        <f>SUMIF('ПО КОРИСНИЦИМА'!$G$3:$G$508,"Свега за пројекат 0401-П13:",'ПО КОРИСНИЦИМА'!$I$3:$I$508)</f>
        <v>0</v>
      </c>
      <c r="G121" s="291">
        <f t="shared" si="0"/>
        <v>0</v>
      </c>
      <c r="H121" s="294"/>
    </row>
    <row r="122" spans="1:8" hidden="1">
      <c r="A122" s="91"/>
      <c r="B122" s="718" t="s">
        <v>4121</v>
      </c>
      <c r="C122" s="262" t="str">
        <f>IFERROR(VLOOKUP(B122,'ПО КОРИСНИЦИМА'!$C$3:$J$508,5,FALSE),"")</f>
        <v/>
      </c>
      <c r="D122" s="280">
        <f>SUMIF('ПО КОРИСНИЦИМА'!$G$3:$G$508,"Свега за пројекат 0401-П14:",'ПО КОРИСНИЦИМА'!$H$3:$H$508)</f>
        <v>0</v>
      </c>
      <c r="E122" s="292">
        <f t="shared" si="7"/>
        <v>0</v>
      </c>
      <c r="F122" s="92">
        <f>SUMIF('ПО КОРИСНИЦИМА'!$G$3:$G$508,"Свега за пројекат 0401-П14:",'ПО КОРИСНИЦИМА'!$I$3:$I$508)</f>
        <v>0</v>
      </c>
      <c r="G122" s="291">
        <f t="shared" si="0"/>
        <v>0</v>
      </c>
      <c r="H122" s="294"/>
    </row>
    <row r="123" spans="1:8" hidden="1">
      <c r="A123" s="233"/>
      <c r="B123" s="718" t="s">
        <v>4122</v>
      </c>
      <c r="C123" s="262" t="str">
        <f>IFERROR(VLOOKUP(B123,'ПО КОРИСНИЦИМА'!$C$3:$J$508,5,FALSE),"")</f>
        <v/>
      </c>
      <c r="D123" s="280">
        <f>SUMIF('ПО КОРИСНИЦИМА'!$G$3:$G$508,"Свега за пројекат 0401-П15:",'ПО КОРИСНИЦИМА'!$H$3:$H$508)</f>
        <v>0</v>
      </c>
      <c r="E123" s="292">
        <f t="shared" si="7"/>
        <v>0</v>
      </c>
      <c r="F123" s="92">
        <f>SUMIF('ПО КОРИСНИЦИМА'!$G$3:$G$508,"Свега за пројекат 0401-П15:",'ПО КОРИСНИЦИМА'!$I$3:$I$508)</f>
        <v>0</v>
      </c>
      <c r="G123" s="291">
        <f>D123+F123</f>
        <v>0</v>
      </c>
      <c r="H123" s="295"/>
    </row>
    <row r="124" spans="1:8" s="94" customFormat="1" ht="27.75" customHeight="1">
      <c r="A124" s="229" t="s">
        <v>3574</v>
      </c>
      <c r="B124" s="230"/>
      <c r="C124" s="630" t="s">
        <v>4420</v>
      </c>
      <c r="D124" s="284">
        <f>SUM(D125:D147)</f>
        <v>104100000</v>
      </c>
      <c r="E124" s="285">
        <f t="shared" si="7"/>
        <v>0.1275735294117647</v>
      </c>
      <c r="F124" s="286">
        <f>SUM(F125:F147)</f>
        <v>5500000</v>
      </c>
      <c r="G124" s="283">
        <f t="shared" ref="G124:G319" si="10">D124+F124</f>
        <v>109600000</v>
      </c>
      <c r="H124" s="286"/>
    </row>
    <row r="125" spans="1:8" ht="25.5">
      <c r="A125" s="227"/>
      <c r="B125" s="232" t="s">
        <v>4007</v>
      </c>
      <c r="C125" s="632" t="s">
        <v>4510</v>
      </c>
      <c r="D125" s="288">
        <f>SUMIF('ПО КОРИСНИЦИМА'!$C$3:$C$547,B125,'ПО КОРИСНИЦИМА'!$H$3:$H$547)</f>
        <v>11400000</v>
      </c>
      <c r="E125" s="289">
        <f t="shared" si="7"/>
        <v>1.3970588235294118E-2</v>
      </c>
      <c r="F125" s="413">
        <f>SUMIF('ПО КОРИСНИЦИМА'!$C$3:$C$547,B125,'ПО КОРИСНИЦИМА'!$I$3:$I$547)</f>
        <v>0</v>
      </c>
      <c r="G125" s="288">
        <f t="shared" si="10"/>
        <v>11400000</v>
      </c>
      <c r="H125" s="290"/>
    </row>
    <row r="126" spans="1:8">
      <c r="A126" s="91"/>
      <c r="B126" s="95" t="s">
        <v>4053</v>
      </c>
      <c r="C126" s="267" t="s">
        <v>4477</v>
      </c>
      <c r="D126" s="288">
        <f>SUMIF('ПО КОРИСНИЦИМА'!$C$3:$C$547,B126,'ПО КОРИСНИЦИМА'!$H$3:$H$547)</f>
        <v>27700000</v>
      </c>
      <c r="E126" s="292">
        <f t="shared" si="7"/>
        <v>3.3946078431372546E-2</v>
      </c>
      <c r="F126" s="413">
        <f>SUMIF('ПО КОРИСНИЦИМА'!$C$3:$C$547,B126,'ПО КОРИСНИЦИМА'!$I$3:$I$547)</f>
        <v>0</v>
      </c>
      <c r="G126" s="291">
        <f t="shared" si="10"/>
        <v>27700000</v>
      </c>
      <c r="H126" s="294"/>
    </row>
    <row r="127" spans="1:8" hidden="1">
      <c r="A127" s="91"/>
      <c r="B127" s="95" t="s">
        <v>4511</v>
      </c>
      <c r="C127" s="267" t="s">
        <v>4512</v>
      </c>
      <c r="D127" s="288">
        <f>SUMIF('ПО КОРИСНИЦИМА'!$C$3:$C$547,B127,'ПО КОРИСНИЦИМА'!$H$3:$H$547)</f>
        <v>0</v>
      </c>
      <c r="E127" s="292">
        <f t="shared" si="7"/>
        <v>0</v>
      </c>
      <c r="F127" s="413">
        <f>SUMIF('ПО КОРИСНИЦИМА'!$C$3:$C$547,B127,'ПО КОРИСНИЦИМА'!$I$3:$I$547)</f>
        <v>0</v>
      </c>
      <c r="G127" s="291">
        <f>D127+F127</f>
        <v>0</v>
      </c>
      <c r="H127" s="293"/>
    </row>
    <row r="128" spans="1:8" ht="26.25" customHeight="1">
      <c r="A128" s="96"/>
      <c r="B128" s="232" t="s">
        <v>4123</v>
      </c>
      <c r="C128" s="631" t="str">
        <f>IFERROR(VLOOKUP(B128,'ПО КОРИСНИЦИМА'!$C$3:$J$508,5,FALSE),"")</f>
        <v>Пројекат "Изградња дела Београдске улице</v>
      </c>
      <c r="D128" s="288">
        <f>SUMIF('ПО КОРИСНИЦИМА'!$C$3:$C$547,B128,'ПО КОРИСНИЦИМА'!$H$3:$H$547)</f>
        <v>4500000</v>
      </c>
      <c r="E128" s="292">
        <f t="shared" si="7"/>
        <v>5.5147058823529415E-3</v>
      </c>
      <c r="F128" s="413">
        <f>SUMIF('ПО КОРИСНИЦИМА'!$C$3:$C$547,B128,'ПО КОРИСНИЦИМА'!$I$3:$I$547)</f>
        <v>0</v>
      </c>
      <c r="G128" s="291">
        <f>D128+F128</f>
        <v>4500000</v>
      </c>
      <c r="H128" s="293"/>
    </row>
    <row r="129" spans="1:8">
      <c r="A129" s="96"/>
      <c r="B129" s="96" t="s">
        <v>4368</v>
      </c>
      <c r="C129" s="631" t="str">
        <f>IFERROR(VLOOKUP(B129,'ПО КОРИСНИЦИМА'!$C$3:$J$508,5,FALSE),"")</f>
        <v>Пројекат "Изградња дела Карађорђеве улице</v>
      </c>
      <c r="D129" s="288">
        <f>SUMIF('ПО КОРИСНИЦИМА'!$C$3:$C$547,B129,'ПО КОРИСНИЦИМА'!$H$3:$H$547)</f>
        <v>7500000</v>
      </c>
      <c r="E129" s="292">
        <f t="shared" si="7"/>
        <v>9.1911764705882356E-3</v>
      </c>
      <c r="F129" s="413">
        <f>SUMIF('ПО КОРИСНИЦИМА'!$C$3:$C$547,B129,'ПО КОРИСНИЦИМА'!$I$3:$I$547)</f>
        <v>0</v>
      </c>
      <c r="G129" s="291">
        <f>D129+F129</f>
        <v>7500000</v>
      </c>
      <c r="H129" s="293"/>
    </row>
    <row r="130" spans="1:8" ht="27.75" customHeight="1">
      <c r="A130" s="96"/>
      <c r="B130" s="232" t="s">
        <v>4589</v>
      </c>
      <c r="C130" s="631" t="str">
        <f>IFERROR(VLOOKUP(B130,'ПО КОРИСНИЦИМА'!$C$3:$J$508,5,FALSE),"")</f>
        <v>Пројекат "Изградња дела  улице Јована Јовановића Змаја</v>
      </c>
      <c r="D130" s="288">
        <f>SUMIF('ПО КОРИСНИЦИМА'!$C$3:$C$547,B130,'ПО КОРИСНИЦИМА'!$H$3:$H$547)</f>
        <v>3150000</v>
      </c>
      <c r="E130" s="292">
        <f t="shared" ref="E130:E131" si="11">IFERROR(D130/$D$341,"-")</f>
        <v>3.860294117647059E-3</v>
      </c>
      <c r="F130" s="413">
        <f>SUMIF('ПО КОРИСНИЦИМА'!$C$3:$C$547,B130,'ПО КОРИСНИЦИМА'!$I$3:$I$547)</f>
        <v>0</v>
      </c>
      <c r="G130" s="291">
        <f>D130+F130</f>
        <v>3150000</v>
      </c>
      <c r="H130" s="293"/>
    </row>
    <row r="131" spans="1:8" ht="25.5" customHeight="1">
      <c r="A131" s="96"/>
      <c r="B131" s="96" t="s">
        <v>4590</v>
      </c>
      <c r="C131" s="631" t="str">
        <f>IFERROR(VLOOKUP(B131,'ПО КОРИСНИЦИМА'!$C$3:$J$508,5,FALSE),"")</f>
        <v>Пројекат "реконструкција локалног некатегорисаног пута у МЗ Прекодолце</v>
      </c>
      <c r="D131" s="288">
        <f>SUMIF('ПО КОРИСНИЦИМА'!$C$3:$C$547,B131,'ПО КОРИСНИЦИМА'!$H$3:$H$547)</f>
        <v>6200000</v>
      </c>
      <c r="E131" s="292">
        <f t="shared" si="11"/>
        <v>7.5980392156862744E-3</v>
      </c>
      <c r="F131" s="413">
        <f>SUMIF('ПО КОРИСНИЦИМА'!$C$3:$C$547,B131,'ПО КОРИСНИЦИМА'!$I$3:$I$547)</f>
        <v>0</v>
      </c>
      <c r="G131" s="291">
        <f>D131+F131</f>
        <v>6200000</v>
      </c>
      <c r="H131" s="293"/>
    </row>
    <row r="132" spans="1:8" ht="26.25" customHeight="1">
      <c r="A132" s="96"/>
      <c r="B132" s="232" t="s">
        <v>4452</v>
      </c>
      <c r="C132" s="631" t="str">
        <f>IFERROR(VLOOKUP(B132,'ПО КОРИСНИЦИМА'!$C$3:$J$508,5,FALSE),"")</f>
        <v>Пројекат "Рехабилитација локалног пута Брестово - Јагњило и реконструкција Београдске улице"</v>
      </c>
      <c r="D132" s="288">
        <f>SUMIF('ПО КОРИСНИЦИМА'!$C$3:$C$547,B132,'ПО КОРИСНИЦИМА'!$H$3:$H$547)</f>
        <v>2050000</v>
      </c>
      <c r="E132" s="289">
        <f t="shared" si="7"/>
        <v>2.5122549019607845E-3</v>
      </c>
      <c r="F132" s="413">
        <f>SUMIF('ПО КОРИСНИЦИМА'!$C$3:$C$547,B132,'ПО КОРИСНИЦИМА'!$I$3:$I$547)</f>
        <v>5500000</v>
      </c>
      <c r="G132" s="288">
        <f t="shared" si="10"/>
        <v>7550000</v>
      </c>
      <c r="H132" s="293"/>
    </row>
    <row r="133" spans="1:8" ht="26.25">
      <c r="A133" s="96"/>
      <c r="B133" s="96" t="s">
        <v>4124</v>
      </c>
      <c r="C133" s="631" t="str">
        <f>IFERROR(VLOOKUP(B133,'ПО КОРИСНИЦИМА'!$C$3:$J$508,5,FALSE),"")</f>
        <v>Пројекат "Рехабилитација локалних путних праваца у МЗ Житорађе</v>
      </c>
      <c r="D133" s="288">
        <f>SUMIF('ПО КОРИСНИЦИМА'!$C$3:$C$547,B133,'ПО КОРИСНИЦИМА'!$H$3:$H$547)</f>
        <v>2500000</v>
      </c>
      <c r="E133" s="292">
        <f t="shared" si="7"/>
        <v>3.0637254901960784E-3</v>
      </c>
      <c r="F133" s="413">
        <f>SUMIF('ПО КОРИСНИЦИМА'!$C$3:$C$547,B133,'ПО КОРИСНИЦИМА'!$I$3:$I$547)</f>
        <v>0</v>
      </c>
      <c r="G133" s="291">
        <f t="shared" si="10"/>
        <v>2500000</v>
      </c>
      <c r="H133" s="293"/>
    </row>
    <row r="134" spans="1:8" ht="26.25">
      <c r="A134" s="96"/>
      <c r="B134" s="232" t="s">
        <v>4125</v>
      </c>
      <c r="C134" s="631" t="str">
        <f>IFERROR(VLOOKUP(B134,'ПО КОРИСНИЦИМА'!$C$3:$J$508,5,FALSE),"")</f>
        <v>Пројекат "Реконструкција локалног некатегорисаног  пута у МЗ Летовиште</v>
      </c>
      <c r="D134" s="288">
        <f>SUMIF('ПО КОРИСНИЦИМА'!$C$3:$C$547,B134,'ПО КОРИСНИЦИМА'!$H$3:$H$547)</f>
        <v>22000000</v>
      </c>
      <c r="E134" s="289">
        <f t="shared" si="7"/>
        <v>2.6960784313725492E-2</v>
      </c>
      <c r="F134" s="413">
        <f>SUMIF('ПО КОРИСНИЦИМА'!$C$3:$C$547,B134,'ПО КОРИСНИЦИМА'!$I$3:$I$547)</f>
        <v>0</v>
      </c>
      <c r="G134" s="288">
        <f t="shared" si="10"/>
        <v>22000000</v>
      </c>
      <c r="H134" s="293"/>
    </row>
    <row r="135" spans="1:8">
      <c r="A135" s="96"/>
      <c r="B135" s="96" t="s">
        <v>4126</v>
      </c>
      <c r="C135" s="631" t="str">
        <f>IFERROR(VLOOKUP(B135,'ПО КОРИСНИЦИМА'!$C$3:$J$508,5,FALSE),"")</f>
        <v>Пројекат "Реконструкција локалног пута у МЗ Љутеж"</v>
      </c>
      <c r="D135" s="288">
        <f>SUMIF('ПО КОРИСНИЦИМА'!$C$3:$C$547,B135,'ПО КОРИСНИЦИМА'!$H$3:$H$547)</f>
        <v>17100000</v>
      </c>
      <c r="E135" s="292">
        <f t="shared" si="7"/>
        <v>2.0955882352941175E-2</v>
      </c>
      <c r="F135" s="413">
        <f>SUMIF('ПО КОРИСНИЦИМА'!$C$3:$C$547,B135,'ПО КОРИСНИЦИМА'!$I$3:$I$547)</f>
        <v>0</v>
      </c>
      <c r="G135" s="291">
        <f t="shared" si="10"/>
        <v>17100000</v>
      </c>
      <c r="H135" s="293"/>
    </row>
    <row r="136" spans="1:8" hidden="1">
      <c r="A136" s="96"/>
      <c r="B136" s="232" t="s">
        <v>4127</v>
      </c>
      <c r="C136" s="631" t="str">
        <f>IFERROR(VLOOKUP(B136,'ПО КОРИСНИЦИМА'!$C$3:$J$508,5,FALSE),"")</f>
        <v/>
      </c>
      <c r="D136" s="288">
        <f>SUMIF('ПО КОРИСНИЦИМА'!$C$3:$C$547,B136,'ПО КОРИСНИЦИМА'!$H$3:$H$547)</f>
        <v>0</v>
      </c>
      <c r="E136" s="289">
        <f t="shared" si="7"/>
        <v>0</v>
      </c>
      <c r="F136" s="413">
        <f>SUMIF('ПО КОРИСНИЦИМА'!$C$3:$C$547,B136,'ПО КОРИСНИЦИМА'!$I$3:$I$547)</f>
        <v>0</v>
      </c>
      <c r="G136" s="288">
        <f t="shared" si="10"/>
        <v>0</v>
      </c>
      <c r="H136" s="293"/>
    </row>
    <row r="137" spans="1:8" ht="26.25" hidden="1" customHeight="1">
      <c r="A137" s="96"/>
      <c r="B137" s="96" t="s">
        <v>4128</v>
      </c>
      <c r="C137" s="631" t="str">
        <f>IFERROR(VLOOKUP(B137,'ПО КОРИСНИЦИМА'!$C$3:$J$508,5,FALSE),"")</f>
        <v/>
      </c>
      <c r="D137" s="288">
        <f>SUMIF('ПО КОРИСНИЦИМА'!$C$3:$C$547,B137,'ПО КОРИСНИЦИМА'!$H$3:$H$547)</f>
        <v>0</v>
      </c>
      <c r="E137" s="292">
        <f t="shared" si="7"/>
        <v>0</v>
      </c>
      <c r="F137" s="413">
        <f>SUMIF('ПО КОРИСНИЦИМА'!$C$3:$C$547,B137,'ПО КОРИСНИЦИМА'!$I$3:$I$547)</f>
        <v>0</v>
      </c>
      <c r="G137" s="291">
        <f t="shared" si="10"/>
        <v>0</v>
      </c>
      <c r="H137" s="293"/>
    </row>
    <row r="138" spans="1:8" hidden="1">
      <c r="A138" s="96"/>
      <c r="B138" s="232" t="s">
        <v>4129</v>
      </c>
      <c r="C138" s="631" t="str">
        <f>IFERROR(VLOOKUP(B138,'ПО КОРИСНИЦИМА'!$C$3:$J$508,5,FALSE),"")</f>
        <v/>
      </c>
      <c r="D138" s="288">
        <f>SUMIF('ПО КОРИСНИЦИМА'!$C$3:$C$547,B138,'ПО КОРИСНИЦИМА'!$H$3:$H$547)</f>
        <v>0</v>
      </c>
      <c r="E138" s="289">
        <f t="shared" si="7"/>
        <v>0</v>
      </c>
      <c r="F138" s="413">
        <f>SUMIF('ПО КОРИСНИЦИМА'!$C$3:$C$547,B138,'ПО КОРИСНИЦИМА'!$I$3:$I$547)</f>
        <v>0</v>
      </c>
      <c r="G138" s="288">
        <f t="shared" si="10"/>
        <v>0</v>
      </c>
      <c r="H138" s="293"/>
    </row>
    <row r="139" spans="1:8" hidden="1">
      <c r="A139" s="96"/>
      <c r="B139" s="96" t="s">
        <v>4130</v>
      </c>
      <c r="C139" s="262" t="str">
        <f>IFERROR(VLOOKUP(B139,'ПО КОРИСНИЦИМА'!$C$3:$J$508,5,FALSE),"")</f>
        <v/>
      </c>
      <c r="D139" s="288">
        <f>SUMIF('ПО КОРИСНИЦИМА'!$C$3:$C$547,B139,'ПО КОРИСНИЦИМА'!$H$3:$H$547)</f>
        <v>0</v>
      </c>
      <c r="E139" s="292">
        <f t="shared" si="7"/>
        <v>0</v>
      </c>
      <c r="F139" s="413">
        <f>SUMIF('ПО КОРИСНИЦИМА'!$C$3:$C$547,B139,'ПО КОРИСНИЦИМА'!$I$3:$I$547)</f>
        <v>0</v>
      </c>
      <c r="G139" s="291">
        <f t="shared" si="10"/>
        <v>0</v>
      </c>
      <c r="H139" s="293"/>
    </row>
    <row r="140" spans="1:8" hidden="1">
      <c r="A140" s="96"/>
      <c r="B140" s="232" t="s">
        <v>4131</v>
      </c>
      <c r="C140" s="262" t="str">
        <f>IFERROR(VLOOKUP(B140,'ПО КОРИСНИЦИМА'!$C$3:$J$508,5,FALSE),"")</f>
        <v/>
      </c>
      <c r="D140" s="288">
        <f>SUMIF('ПО КОРИСНИЦИМА'!$C$3:$C$547,B140,'ПО КОРИСНИЦИМА'!$H$3:$H$547)</f>
        <v>0</v>
      </c>
      <c r="E140" s="289">
        <f t="shared" si="7"/>
        <v>0</v>
      </c>
      <c r="F140" s="413">
        <f>SUMIF('ПО КОРИСНИЦИМА'!$C$3:$C$547,B140,'ПО КОРИСНИЦИМА'!$I$3:$I$547)</f>
        <v>0</v>
      </c>
      <c r="G140" s="288">
        <f t="shared" si="10"/>
        <v>0</v>
      </c>
      <c r="H140" s="293"/>
    </row>
    <row r="141" spans="1:8" hidden="1">
      <c r="A141" s="96"/>
      <c r="B141" s="96" t="s">
        <v>4132</v>
      </c>
      <c r="C141" s="262" t="str">
        <f>IFERROR(VLOOKUP(B141,'ПО КОРИСНИЦИМА'!$C$3:$J$508,5,FALSE),"")</f>
        <v/>
      </c>
      <c r="D141" s="288">
        <f>SUMIF('ПО КОРИСНИЦИМА'!$C$3:$C$547,B141,'ПО КОРИСНИЦИМА'!$H$3:$H$547)</f>
        <v>0</v>
      </c>
      <c r="E141" s="292">
        <f t="shared" si="7"/>
        <v>0</v>
      </c>
      <c r="F141" s="413">
        <f>SUMIF('ПО КОРИСНИЦИМА'!$C$3:$C$547,B141,'ПО КОРИСНИЦИМА'!$I$3:$I$547)</f>
        <v>0</v>
      </c>
      <c r="G141" s="291">
        <f t="shared" si="10"/>
        <v>0</v>
      </c>
      <c r="H141" s="293"/>
    </row>
    <row r="142" spans="1:8" hidden="1">
      <c r="A142" s="96"/>
      <c r="B142" s="232" t="s">
        <v>4133</v>
      </c>
      <c r="C142" s="262" t="str">
        <f>IFERROR(VLOOKUP(B142,'ПО КОРИСНИЦИМА'!$C$3:$J$508,5,FALSE),"")</f>
        <v/>
      </c>
      <c r="D142" s="288">
        <f>SUMIF('ПО КОРИСНИЦИМА'!$C$3:$C$547,B142,'ПО КОРИСНИЦИМА'!$H$3:$H$547)</f>
        <v>0</v>
      </c>
      <c r="E142" s="289">
        <f t="shared" ref="E142:E173" si="12">IFERROR(D142/$D$341,"-")</f>
        <v>0</v>
      </c>
      <c r="F142" s="413">
        <f>SUMIF('ПО КОРИСНИЦИМА'!$C$3:$C$547,B142,'ПО КОРИСНИЦИМА'!$I$3:$I$547)</f>
        <v>0</v>
      </c>
      <c r="G142" s="288">
        <f t="shared" si="10"/>
        <v>0</v>
      </c>
      <c r="H142" s="293"/>
    </row>
    <row r="143" spans="1:8" hidden="1">
      <c r="A143" s="96"/>
      <c r="B143" s="96" t="s">
        <v>4134</v>
      </c>
      <c r="C143" s="262" t="str">
        <f>IFERROR(VLOOKUP(B143,'ПО КОРИСНИЦИМА'!$C$3:$J$508,5,FALSE),"")</f>
        <v/>
      </c>
      <c r="D143" s="288">
        <f>SUMIF('ПО КОРИСНИЦИМА'!$C$3:$C$547,B143,'ПО КОРИСНИЦИМА'!$H$3:$H$547)</f>
        <v>0</v>
      </c>
      <c r="E143" s="292">
        <f t="shared" si="12"/>
        <v>0</v>
      </c>
      <c r="F143" s="413">
        <f>SUMIF('ПО КОРИСНИЦИМА'!$C$3:$C$547,B143,'ПО КОРИСНИЦИМА'!$I$3:$I$547)</f>
        <v>0</v>
      </c>
      <c r="G143" s="291">
        <f t="shared" si="10"/>
        <v>0</v>
      </c>
      <c r="H143" s="293"/>
    </row>
    <row r="144" spans="1:8" hidden="1">
      <c r="A144" s="96"/>
      <c r="B144" s="232" t="s">
        <v>4135</v>
      </c>
      <c r="C144" s="262" t="str">
        <f>IFERROR(VLOOKUP(B144,'ПО КОРИСНИЦИМА'!$C$3:$J$508,5,FALSE),"")</f>
        <v/>
      </c>
      <c r="D144" s="288">
        <f>SUMIF('ПО КОРИСНИЦИМА'!$C$3:$C$547,B144,'ПО КОРИСНИЦИМА'!$H$3:$H$547)</f>
        <v>0</v>
      </c>
      <c r="E144" s="289">
        <f t="shared" si="12"/>
        <v>0</v>
      </c>
      <c r="F144" s="413">
        <f>SUMIF('ПО КОРИСНИЦИМА'!$C$3:$C$547,B144,'ПО КОРИСНИЦИМА'!$I$3:$I$547)</f>
        <v>0</v>
      </c>
      <c r="G144" s="288">
        <f t="shared" si="10"/>
        <v>0</v>
      </c>
      <c r="H144" s="293"/>
    </row>
    <row r="145" spans="1:8" hidden="1">
      <c r="A145" s="96"/>
      <c r="B145" s="96" t="s">
        <v>4136</v>
      </c>
      <c r="C145" s="262" t="str">
        <f>IFERROR(VLOOKUP(B145,'ПО КОРИСНИЦИМА'!$C$3:$J$508,5,FALSE),"")</f>
        <v/>
      </c>
      <c r="D145" s="288">
        <f>SUMIF('ПО КОРИСНИЦИМА'!$C$3:$C$547,B145,'ПО КОРИСНИЦИМА'!$H$3:$H$547)</f>
        <v>0</v>
      </c>
      <c r="E145" s="292">
        <f t="shared" si="12"/>
        <v>0</v>
      </c>
      <c r="F145" s="413">
        <f>SUMIF('ПО КОРИСНИЦИМА'!$C$3:$C$547,B145,'ПО КОРИСНИЦИМА'!$I$3:$I$547)</f>
        <v>0</v>
      </c>
      <c r="G145" s="291">
        <f t="shared" si="10"/>
        <v>0</v>
      </c>
      <c r="H145" s="293"/>
    </row>
    <row r="146" spans="1:8" hidden="1">
      <c r="A146" s="96"/>
      <c r="B146" s="232" t="s">
        <v>4137</v>
      </c>
      <c r="C146" s="262" t="str">
        <f>IFERROR(VLOOKUP(B146,'ПО КОРИСНИЦИМА'!$C$3:$J$508,5,FALSE),"")</f>
        <v/>
      </c>
      <c r="D146" s="288">
        <f>SUMIF('ПО КОРИСНИЦИМА'!$C$3:$C$547,B146,'ПО КОРИСНИЦИМА'!$H$3:$H$547)</f>
        <v>0</v>
      </c>
      <c r="E146" s="289">
        <f t="shared" si="12"/>
        <v>0</v>
      </c>
      <c r="F146" s="413">
        <f>SUMIF('ПО КОРИСНИЦИМА'!$C$3:$C$547,B146,'ПО КОРИСНИЦИМА'!$I$3:$I$547)</f>
        <v>0</v>
      </c>
      <c r="G146" s="288">
        <f t="shared" si="10"/>
        <v>0</v>
      </c>
      <c r="H146" s="293"/>
    </row>
    <row r="147" spans="1:8" hidden="1">
      <c r="A147" s="96"/>
      <c r="B147" s="96" t="s">
        <v>4138</v>
      </c>
      <c r="C147" s="262" t="str">
        <f>IFERROR(VLOOKUP(B147,'ПО КОРИСНИЦИМА'!$C$3:$J$508,5,FALSE),"")</f>
        <v/>
      </c>
      <c r="D147" s="288">
        <f>SUMIF('ПО КОРИСНИЦИМА'!$C$3:$C$547,B147,'ПО КОРИСНИЦИМА'!$H$3:$H$547)</f>
        <v>0</v>
      </c>
      <c r="E147" s="292">
        <f t="shared" si="12"/>
        <v>0</v>
      </c>
      <c r="F147" s="413">
        <f>SUMIF('ПО КОРИСНИЦИМА'!$C$3:$C$547,B147,'ПО КОРИСНИЦИМА'!$I$3:$I$547)</f>
        <v>0</v>
      </c>
      <c r="G147" s="291">
        <f t="shared" si="10"/>
        <v>0</v>
      </c>
      <c r="H147" s="293"/>
    </row>
    <row r="148" spans="1:8" s="94" customFormat="1" ht="14.25">
      <c r="A148" s="229" t="s">
        <v>3577</v>
      </c>
      <c r="B148" s="230"/>
      <c r="C148" s="260" t="s">
        <v>4421</v>
      </c>
      <c r="D148" s="284">
        <f>SUM(D149:D169)</f>
        <v>76150000</v>
      </c>
      <c r="E148" s="285">
        <f t="shared" si="12"/>
        <v>9.3321078431372551E-2</v>
      </c>
      <c r="F148" s="286">
        <f>SUM(F149:F169)</f>
        <v>1700000</v>
      </c>
      <c r="G148" s="284">
        <f t="shared" si="10"/>
        <v>77850000</v>
      </c>
      <c r="H148" s="286"/>
    </row>
    <row r="149" spans="1:8" ht="25.5">
      <c r="A149" s="227"/>
      <c r="B149" s="234" t="s">
        <v>4046</v>
      </c>
      <c r="C149" s="632" t="s">
        <v>4513</v>
      </c>
      <c r="D149" s="288">
        <f>SUMIF('ПО КОРИСНИЦИМА'!$C$3:$C$547,B149,'ПО КОРИСНИЦИМА'!$H$3:$H$547)</f>
        <v>59750000</v>
      </c>
      <c r="E149" s="289">
        <f t="shared" si="12"/>
        <v>7.3223039215686278E-2</v>
      </c>
      <c r="F149" s="413">
        <f>SUMIF('ПО КОРИСНИЦИМА'!$C$3:$C$547,B149,'ПО КОРИСНИЦИМА'!$I$3:$I$547)</f>
        <v>0</v>
      </c>
      <c r="G149" s="288">
        <f t="shared" si="10"/>
        <v>59750000</v>
      </c>
      <c r="H149" s="235"/>
    </row>
    <row r="150" spans="1:8">
      <c r="A150" s="96"/>
      <c r="B150" s="96" t="s">
        <v>4139</v>
      </c>
      <c r="C150" s="262" t="s">
        <v>4422</v>
      </c>
      <c r="D150" s="288">
        <f>SUMIF('ПО КОРИСНИЦИМА'!$C$3:$C$547,B150,'ПО КОРИСНИЦИМА'!$H$3:$H$547)</f>
        <v>16400000</v>
      </c>
      <c r="E150" s="292">
        <f t="shared" si="12"/>
        <v>2.0098039215686276E-2</v>
      </c>
      <c r="F150" s="413">
        <f>SUMIF('ПО КОРИСНИЦИМА'!$C$3:$C$547,B150,'ПО КОРИСНИЦИМА'!$I$3:$I$547)</f>
        <v>1700000</v>
      </c>
      <c r="G150" s="291">
        <f t="shared" si="10"/>
        <v>18100000</v>
      </c>
      <c r="H150" s="225"/>
    </row>
    <row r="151" spans="1:8" hidden="1">
      <c r="A151" s="96"/>
      <c r="B151" s="96" t="s">
        <v>4514</v>
      </c>
      <c r="C151" s="262" t="str">
        <f>IFERROR(VLOOKUP(B151,'ПО КОРИСНИЦИМА'!$C$3:$J$508,5,FALSE),"")</f>
        <v/>
      </c>
      <c r="D151" s="280">
        <f>SUMIF('ПО КОРИСНИЦИМА'!$G$3:$G$508,"Свега за пројекат 2001-П6:",'ПО КОРИСНИЦИМА'!$H$3:$H$508)</f>
        <v>0</v>
      </c>
      <c r="E151" s="292">
        <f t="shared" si="12"/>
        <v>0</v>
      </c>
      <c r="F151" s="92">
        <f>SUMIF('ПО КОРИСНИЦИМА'!$G$3:$G$508,"Свега за пројекат 2001-П6:",'ПО КОРИСНИЦИМА'!$I$3:$I$508)</f>
        <v>0</v>
      </c>
      <c r="G151" s="291">
        <f t="shared" ref="G151:G169" si="13">D151+F151</f>
        <v>0</v>
      </c>
      <c r="H151" s="258"/>
    </row>
    <row r="152" spans="1:8" hidden="1">
      <c r="A152" s="96"/>
      <c r="B152" s="96" t="s">
        <v>4515</v>
      </c>
      <c r="C152" s="262" t="str">
        <f>IFERROR(VLOOKUP(B152,'ПО КОРИСНИЦИМА'!$C$3:$J$508,5,FALSE),"")</f>
        <v/>
      </c>
      <c r="D152" s="280">
        <f>SUMIF('ПО КОРИСНИЦИМА'!$G$3:$G$508,"Свега за пројекат 2001-П7:",'ПО КОРИСНИЦИМА'!$H$3:$H$508)</f>
        <v>0</v>
      </c>
      <c r="E152" s="292">
        <f t="shared" si="12"/>
        <v>0</v>
      </c>
      <c r="F152" s="92">
        <f>SUMIF('ПО КОРИСНИЦИМА'!$G$3:$G$508,"Свега за пројекат 2001-П7:",'ПО КОРИСНИЦИМА'!$I$3:$I$508)</f>
        <v>0</v>
      </c>
      <c r="G152" s="291">
        <f t="shared" si="13"/>
        <v>0</v>
      </c>
      <c r="H152" s="258"/>
    </row>
    <row r="153" spans="1:8" hidden="1">
      <c r="A153" s="96"/>
      <c r="B153" s="96" t="s">
        <v>4516</v>
      </c>
      <c r="C153" s="262" t="str">
        <f>IFERROR(VLOOKUP(B153,'ПО КОРИСНИЦИМА'!$C$3:$J$508,5,FALSE),"")</f>
        <v/>
      </c>
      <c r="D153" s="280">
        <f>SUMIF('ПО КОРИСНИЦИМА'!$G$3:$G$508,"Свега за пројекат 2001-П8:",'ПО КОРИСНИЦИМА'!$H$3:$H$508)</f>
        <v>0</v>
      </c>
      <c r="E153" s="292">
        <f t="shared" si="12"/>
        <v>0</v>
      </c>
      <c r="F153" s="92">
        <f>SUMIF('ПО КОРИСНИЦИМА'!$G$3:$G$508,"Свега за пројекат 2001-П8:",'ПО КОРИСНИЦИМА'!$I$3:$I$508)</f>
        <v>0</v>
      </c>
      <c r="G153" s="291">
        <f t="shared" si="13"/>
        <v>0</v>
      </c>
      <c r="H153" s="258"/>
    </row>
    <row r="154" spans="1:8" hidden="1">
      <c r="A154" s="96"/>
      <c r="B154" s="96" t="s">
        <v>4517</v>
      </c>
      <c r="C154" s="262" t="str">
        <f>IFERROR(VLOOKUP(B154,'ПО КОРИСНИЦИМА'!$C$3:$J$508,5,FALSE),"")</f>
        <v/>
      </c>
      <c r="D154" s="280">
        <f>SUMIF('ПО КОРИСНИЦИМА'!$G$3:$G$508,"Свега за пројекат 2001-П9:",'ПО КОРИСНИЦИМА'!$H$3:$H$508)</f>
        <v>0</v>
      </c>
      <c r="E154" s="292">
        <f t="shared" si="12"/>
        <v>0</v>
      </c>
      <c r="F154" s="92">
        <f>SUMIF('ПО КОРИСНИЦИМА'!$G$3:$G$508,"Свега за пројекат 2001-П9:",'ПО КОРИСНИЦИМА'!$I$3:$I$508)</f>
        <v>0</v>
      </c>
      <c r="G154" s="291">
        <f t="shared" si="13"/>
        <v>0</v>
      </c>
      <c r="H154" s="258"/>
    </row>
    <row r="155" spans="1:8" hidden="1">
      <c r="A155" s="96"/>
      <c r="B155" s="96" t="s">
        <v>4140</v>
      </c>
      <c r="C155" s="262" t="str">
        <f>IFERROR(VLOOKUP(B155,'ПО КОРИСНИЦИМА'!$C$3:$J$508,5,FALSE),"")</f>
        <v/>
      </c>
      <c r="D155" s="280">
        <f>SUMIF('ПО КОРИСНИЦИМА'!$G$3:$G$508,"Свега за пројекат 2001-П10:",'ПО КОРИСНИЦИМА'!$H$3:$H$508)</f>
        <v>0</v>
      </c>
      <c r="E155" s="292">
        <f t="shared" si="12"/>
        <v>0</v>
      </c>
      <c r="F155" s="92">
        <f>SUMIF('ПО КОРИСНИЦИМА'!$G$3:$G$508,"Свега за пројекат 2001-П10:",'ПО КОРИСНИЦИМА'!$I$3:$I$508)</f>
        <v>0</v>
      </c>
      <c r="G155" s="291">
        <f t="shared" si="13"/>
        <v>0</v>
      </c>
      <c r="H155" s="258"/>
    </row>
    <row r="156" spans="1:8" hidden="1">
      <c r="A156" s="96"/>
      <c r="B156" s="96" t="s">
        <v>4141</v>
      </c>
      <c r="C156" s="262" t="str">
        <f>IFERROR(VLOOKUP(B156,'ПО КОРИСНИЦИМА'!$C$3:$J$508,5,FALSE),"")</f>
        <v/>
      </c>
      <c r="D156" s="280">
        <f>SUMIF('ПО КОРИСНИЦИМА'!$G$3:$G$508,"Свега за пројекат 2001-П11:",'ПО КОРИСНИЦИМА'!$H$3:$H$508)</f>
        <v>0</v>
      </c>
      <c r="E156" s="292">
        <f t="shared" si="12"/>
        <v>0</v>
      </c>
      <c r="F156" s="92">
        <f>SUMIF('ПО КОРИСНИЦИМА'!$G$3:$G$508,"Свега за пројекат 2001-П11:",'ПО КОРИСНИЦИМА'!$I$3:$I$508)</f>
        <v>0</v>
      </c>
      <c r="G156" s="291">
        <f t="shared" si="13"/>
        <v>0</v>
      </c>
      <c r="H156" s="258"/>
    </row>
    <row r="157" spans="1:8" hidden="1">
      <c r="A157" s="96"/>
      <c r="B157" s="96" t="s">
        <v>4142</v>
      </c>
      <c r="C157" s="262" t="str">
        <f>IFERROR(VLOOKUP(B157,'ПО КОРИСНИЦИМА'!$C$3:$J$508,5,FALSE),"")</f>
        <v/>
      </c>
      <c r="D157" s="280">
        <f>SUMIF('ПО КОРИСНИЦИМА'!$G$3:$G$508,"Свега за пројекат 2001-П12:",'ПО КОРИСНИЦИМА'!$H$3:$H$508)</f>
        <v>0</v>
      </c>
      <c r="E157" s="292">
        <f t="shared" si="12"/>
        <v>0</v>
      </c>
      <c r="F157" s="92">
        <f>SUMIF('ПО КОРИСНИЦИМА'!$G$3:$G$508,"Свега за пројекат 2001-П12:",'ПО КОРИСНИЦИМА'!$I$3:$I$508)</f>
        <v>0</v>
      </c>
      <c r="G157" s="291">
        <f t="shared" si="13"/>
        <v>0</v>
      </c>
      <c r="H157" s="258"/>
    </row>
    <row r="158" spans="1:8" hidden="1">
      <c r="A158" s="96"/>
      <c r="B158" s="96" t="s">
        <v>4143</v>
      </c>
      <c r="C158" s="262" t="str">
        <f>IFERROR(VLOOKUP(B158,'ПО КОРИСНИЦИМА'!$C$3:$J$508,5,FALSE),"")</f>
        <v/>
      </c>
      <c r="D158" s="280">
        <f>SUMIF('ПО КОРИСНИЦИМА'!$G$3:$G$508,"Свега за пројекат 2001-П13:",'ПО КОРИСНИЦИМА'!$H$3:$H$508)</f>
        <v>0</v>
      </c>
      <c r="E158" s="292">
        <f t="shared" si="12"/>
        <v>0</v>
      </c>
      <c r="F158" s="92">
        <f>SUMIF('ПО КОРИСНИЦИМА'!$G$3:$G$508,"Свега за пројекат 2001-П13:",'ПО КОРИСНИЦИМА'!$I$3:$I$508)</f>
        <v>0</v>
      </c>
      <c r="G158" s="291">
        <f t="shared" si="13"/>
        <v>0</v>
      </c>
      <c r="H158" s="258"/>
    </row>
    <row r="159" spans="1:8" hidden="1">
      <c r="A159" s="96"/>
      <c r="B159" s="96" t="s">
        <v>4144</v>
      </c>
      <c r="C159" s="262" t="str">
        <f>IFERROR(VLOOKUP(B159,'ПО КОРИСНИЦИМА'!$C$3:$J$508,5,FALSE),"")</f>
        <v/>
      </c>
      <c r="D159" s="280">
        <f>SUMIF('ПО КОРИСНИЦИМА'!$G$3:$G$508,"Свега за пројекат 2001-П14:",'ПО КОРИСНИЦИМА'!$H$3:$H$508)</f>
        <v>0</v>
      </c>
      <c r="E159" s="292">
        <f t="shared" si="12"/>
        <v>0</v>
      </c>
      <c r="F159" s="92">
        <f>SUMIF('ПО КОРИСНИЦИМА'!$G$3:$G$508,"Свега за пројекат 2001-П14:",'ПО КОРИСНИЦИМА'!$I$3:$I$508)</f>
        <v>0</v>
      </c>
      <c r="G159" s="291">
        <f t="shared" si="13"/>
        <v>0</v>
      </c>
      <c r="H159" s="258"/>
    </row>
    <row r="160" spans="1:8" hidden="1">
      <c r="A160" s="96"/>
      <c r="B160" s="96" t="s">
        <v>4145</v>
      </c>
      <c r="C160" s="262" t="str">
        <f>IFERROR(VLOOKUP(B160,'ПО КОРИСНИЦИМА'!$C$3:$J$508,5,FALSE),"")</f>
        <v/>
      </c>
      <c r="D160" s="280">
        <f>SUMIF('ПО КОРИСНИЦИМА'!$G$3:$G$508,"Свега за пројекат 2001-П15:",'ПО КОРИСНИЦИМА'!$H$3:$H$508)</f>
        <v>0</v>
      </c>
      <c r="E160" s="292">
        <f t="shared" si="12"/>
        <v>0</v>
      </c>
      <c r="F160" s="92">
        <f>SUMIF('ПО КОРИСНИЦИМА'!$G$3:$G$508,"Свега за пројекат 2001-П15:",'ПО КОРИСНИЦИМА'!$I$3:$I$508)</f>
        <v>0</v>
      </c>
      <c r="G160" s="291">
        <f t="shared" si="13"/>
        <v>0</v>
      </c>
      <c r="H160" s="258"/>
    </row>
    <row r="161" spans="1:8" hidden="1">
      <c r="A161" s="96"/>
      <c r="B161" s="96" t="s">
        <v>4146</v>
      </c>
      <c r="C161" s="262" t="str">
        <f>IFERROR(VLOOKUP(B161,'ПО КОРИСНИЦИМА'!$C$3:$J$508,5,FALSE),"")</f>
        <v/>
      </c>
      <c r="D161" s="280">
        <f>SUMIF('ПО КОРИСНИЦИМА'!$G$3:$G$508,"Свега за пројекат 2001-П16:",'ПО КОРИСНИЦИМА'!$H$3:$H$508)</f>
        <v>0</v>
      </c>
      <c r="E161" s="292">
        <f t="shared" si="12"/>
        <v>0</v>
      </c>
      <c r="F161" s="92">
        <f>SUMIF('ПО КОРИСНИЦИМА'!$G$3:$G$508,"Свега за пројекат 2001-П16:",'ПО КОРИСНИЦИМА'!$I$3:$I$508)</f>
        <v>0</v>
      </c>
      <c r="G161" s="291">
        <f t="shared" si="13"/>
        <v>0</v>
      </c>
      <c r="H161" s="258"/>
    </row>
    <row r="162" spans="1:8" hidden="1">
      <c r="A162" s="96"/>
      <c r="B162" s="96" t="s">
        <v>4147</v>
      </c>
      <c r="C162" s="262" t="str">
        <f>IFERROR(VLOOKUP(B162,'ПО КОРИСНИЦИМА'!$C$3:$J$508,5,FALSE),"")</f>
        <v/>
      </c>
      <c r="D162" s="280">
        <f>SUMIF('ПО КОРИСНИЦИМА'!$G$3:$G$508,"Свега за пројекат 2001-П17:",'ПО КОРИСНИЦИМА'!$H$3:$H$508)</f>
        <v>0</v>
      </c>
      <c r="E162" s="292">
        <f t="shared" si="12"/>
        <v>0</v>
      </c>
      <c r="F162" s="92">
        <f>SUMIF('ПО КОРИСНИЦИМА'!$G$3:$G$508,"Свега за пројекат 2001-П17:",'ПО КОРИСНИЦИМА'!$I$3:$I$508)</f>
        <v>0</v>
      </c>
      <c r="G162" s="291">
        <f t="shared" si="13"/>
        <v>0</v>
      </c>
      <c r="H162" s="258"/>
    </row>
    <row r="163" spans="1:8" hidden="1">
      <c r="A163" s="96"/>
      <c r="B163" s="96" t="s">
        <v>4148</v>
      </c>
      <c r="C163" s="262" t="str">
        <f>IFERROR(VLOOKUP(B163,'ПО КОРИСНИЦИМА'!$C$3:$J$508,5,FALSE),"")</f>
        <v/>
      </c>
      <c r="D163" s="280">
        <f>SUMIF('ПО КОРИСНИЦИМА'!$G$3:$G$508,"Свега за пројекат 2001-П18:",'ПО КОРИСНИЦИМА'!$H$3:$H$508)</f>
        <v>0</v>
      </c>
      <c r="E163" s="292">
        <f t="shared" si="12"/>
        <v>0</v>
      </c>
      <c r="F163" s="92">
        <f>SUMIF('ПО КОРИСНИЦИМА'!$G$3:$G$508,"Свега за пројекат 2001-П18:",'ПО КОРИСНИЦИМА'!$I$3:$I$508)</f>
        <v>0</v>
      </c>
      <c r="G163" s="291">
        <f t="shared" si="13"/>
        <v>0</v>
      </c>
      <c r="H163" s="258"/>
    </row>
    <row r="164" spans="1:8" hidden="1">
      <c r="A164" s="96"/>
      <c r="B164" s="96" t="s">
        <v>4149</v>
      </c>
      <c r="C164" s="262" t="str">
        <f>IFERROR(VLOOKUP(B164,'ПО КОРИСНИЦИМА'!$C$3:$J$508,5,FALSE),"")</f>
        <v/>
      </c>
      <c r="D164" s="280">
        <f>SUMIF('ПО КОРИСНИЦИМА'!$G$3:$G$508,"Свега за пројекат 2001-П19:",'ПО КОРИСНИЦИМА'!$H$3:$H$508)</f>
        <v>0</v>
      </c>
      <c r="E164" s="292">
        <f t="shared" si="12"/>
        <v>0</v>
      </c>
      <c r="F164" s="92">
        <f>SUMIF('ПО КОРИСНИЦИМА'!$G$3:$G$508,"Свега за пројекат 2001-П19:",'ПО КОРИСНИЦИМА'!$I$3:$I$508)</f>
        <v>0</v>
      </c>
      <c r="G164" s="291">
        <f t="shared" si="13"/>
        <v>0</v>
      </c>
      <c r="H164" s="258"/>
    </row>
    <row r="165" spans="1:8" hidden="1">
      <c r="A165" s="96"/>
      <c r="B165" s="96" t="s">
        <v>4150</v>
      </c>
      <c r="C165" s="262" t="str">
        <f>IFERROR(VLOOKUP(B165,'ПО КОРИСНИЦИМА'!$C$3:$J$508,5,FALSE),"")</f>
        <v/>
      </c>
      <c r="D165" s="280">
        <f>SUMIF('ПО КОРИСНИЦИМА'!$G$3:$G$508,"Свега за пројекат 2001-П20:",'ПО КОРИСНИЦИМА'!$H$3:$H$508)</f>
        <v>0</v>
      </c>
      <c r="E165" s="292">
        <f t="shared" si="12"/>
        <v>0</v>
      </c>
      <c r="F165" s="92">
        <f>SUMIF('ПО КОРИСНИЦИМА'!$G$3:$G$508,"Свега за пројекат 2001-П20:",'ПО КОРИСНИЦИМА'!$I$3:$I$508)</f>
        <v>0</v>
      </c>
      <c r="G165" s="291">
        <f t="shared" si="13"/>
        <v>0</v>
      </c>
      <c r="H165" s="225"/>
    </row>
    <row r="166" spans="1:8" hidden="1">
      <c r="A166" s="96"/>
      <c r="B166" s="96" t="s">
        <v>4151</v>
      </c>
      <c r="C166" s="262" t="str">
        <f>IFERROR(VLOOKUP(B166,'ПО КОРИСНИЦИМА'!$C$3:$J$508,5,FALSE),"")</f>
        <v/>
      </c>
      <c r="D166" s="280">
        <f>SUMIF('ПО КОРИСНИЦИМА'!$G$3:$G$508,"Свега за пројекат 2001-П21:",'ПО КОРИСНИЦИМА'!$H$3:$H$508)</f>
        <v>0</v>
      </c>
      <c r="E166" s="292">
        <f t="shared" si="12"/>
        <v>0</v>
      </c>
      <c r="F166" s="92">
        <f>SUMIF('ПО КОРИСНИЦИМА'!$G$3:$G$508,"Свега за пројекат 2001-П21:",'ПО КОРИСНИЦИМА'!$I$3:$I$508)</f>
        <v>0</v>
      </c>
      <c r="G166" s="291">
        <f t="shared" si="13"/>
        <v>0</v>
      </c>
      <c r="H166" s="258"/>
    </row>
    <row r="167" spans="1:8" hidden="1">
      <c r="A167" s="96"/>
      <c r="B167" s="96" t="s">
        <v>4152</v>
      </c>
      <c r="C167" s="262" t="str">
        <f>IFERROR(VLOOKUP(B167,'ПО КОРИСНИЦИМА'!$C$3:$J$508,5,FALSE),"")</f>
        <v/>
      </c>
      <c r="D167" s="280">
        <f>SUMIF('ПО КОРИСНИЦИМА'!$G$3:$G$508,"Свега за пројекат 2001-П22:",'ПО КОРИСНИЦИМА'!$H$3:$H$508)</f>
        <v>0</v>
      </c>
      <c r="E167" s="292">
        <f t="shared" si="12"/>
        <v>0</v>
      </c>
      <c r="F167" s="92">
        <f>SUMIF('ПО КОРИСНИЦИМА'!$G$3:$G$508,"Свега за пројекат 2001-П22:",'ПО КОРИСНИЦИМА'!$I$3:$I$508)</f>
        <v>0</v>
      </c>
      <c r="G167" s="291">
        <f t="shared" si="13"/>
        <v>0</v>
      </c>
      <c r="H167" s="258"/>
    </row>
    <row r="168" spans="1:8" hidden="1">
      <c r="A168" s="96"/>
      <c r="B168" s="96" t="s">
        <v>4153</v>
      </c>
      <c r="C168" s="262" t="str">
        <f>IFERROR(VLOOKUP(B168,'ПО КОРИСНИЦИМА'!$C$3:$J$508,5,FALSE),"")</f>
        <v/>
      </c>
      <c r="D168" s="280">
        <f>SUMIF('ПО КОРИСНИЦИМА'!$G$3:$G$508,"Свега за пројекат 2001-П23:",'ПО КОРИСНИЦИМА'!$H$3:$H$508)</f>
        <v>0</v>
      </c>
      <c r="E168" s="292">
        <f t="shared" si="12"/>
        <v>0</v>
      </c>
      <c r="F168" s="92">
        <f>SUMIF('ПО КОРИСНИЦИМА'!$G$3:$G$508,"Свега за пројекат 2001-П23:",'ПО КОРИСНИЦИМА'!$I$3:$I$508)</f>
        <v>0</v>
      </c>
      <c r="G168" s="291">
        <f t="shared" si="13"/>
        <v>0</v>
      </c>
      <c r="H168" s="258"/>
    </row>
    <row r="169" spans="1:8" hidden="1">
      <c r="A169" s="96"/>
      <c r="B169" s="96" t="s">
        <v>4154</v>
      </c>
      <c r="C169" s="262" t="str">
        <f>IFERROR(VLOOKUP(B169,'ПО КОРИСНИЦИМА'!$C$3:$J$508,5,FALSE),"")</f>
        <v/>
      </c>
      <c r="D169" s="280">
        <f>SUMIF('ПО КОРИСНИЦИМА'!$G$3:$G$508,"Свега за пројекат 2001-П24:",'ПО КОРИСНИЦИМА'!$H$3:$H$508)</f>
        <v>0</v>
      </c>
      <c r="E169" s="292">
        <f t="shared" si="12"/>
        <v>0</v>
      </c>
      <c r="F169" s="92">
        <f>SUMIF('ПО КОРИСНИЦИМА'!$G$3:$G$508,"Свега за пројекат 2001-П24:",'ПО КОРИСНИЦИМА'!$I$3:$I$508)</f>
        <v>0</v>
      </c>
      <c r="G169" s="291">
        <f t="shared" si="13"/>
        <v>0</v>
      </c>
      <c r="H169" s="258"/>
    </row>
    <row r="170" spans="1:8" s="94" customFormat="1" ht="14.25">
      <c r="A170" s="229" t="s">
        <v>3580</v>
      </c>
      <c r="B170" s="230"/>
      <c r="C170" s="260" t="s">
        <v>4423</v>
      </c>
      <c r="D170" s="284">
        <f>SUM(D171:D191)</f>
        <v>66000000</v>
      </c>
      <c r="E170" s="285">
        <f t="shared" si="12"/>
        <v>8.0882352941176475E-2</v>
      </c>
      <c r="F170" s="529">
        <f>SUM(F171:F191)</f>
        <v>98000000</v>
      </c>
      <c r="G170" s="284">
        <f t="shared" si="10"/>
        <v>164000000</v>
      </c>
      <c r="H170" s="286"/>
    </row>
    <row r="171" spans="1:8">
      <c r="A171" s="227"/>
      <c r="B171" s="234" t="s">
        <v>3981</v>
      </c>
      <c r="C171" s="266" t="s">
        <v>3976</v>
      </c>
      <c r="D171" s="288">
        <f>SUMIF('ПО КОРИСНИЦИМА'!$C$3:$C$547,B171,'ПО КОРИСНИЦИМА'!$H$3:$H$547)</f>
        <v>44500000</v>
      </c>
      <c r="E171" s="289">
        <f t="shared" si="12"/>
        <v>5.4534313725490197E-2</v>
      </c>
      <c r="F171" s="413">
        <f>SUMIF('ПО КОРИСНИЦИМА'!$C$3:$C$547,B171,'ПО КОРИСНИЦИМА'!$I$3:$I$547)</f>
        <v>0</v>
      </c>
      <c r="G171" s="288">
        <f t="shared" si="10"/>
        <v>44500000</v>
      </c>
      <c r="H171" s="290"/>
    </row>
    <row r="172" spans="1:8" ht="25.5" customHeight="1">
      <c r="A172" s="227"/>
      <c r="B172" s="234" t="s">
        <v>4155</v>
      </c>
      <c r="C172" s="631" t="str">
        <f>IFERROR(VLOOKUP(B172,'ПО КОРИСНИЦИМА'!$C$3:$J$508,5,FALSE),"")</f>
        <v>Пројекат ограђивања, замене котларница и изградње спортских игралишта у ОШ Бранко Радичевић</v>
      </c>
      <c r="D172" s="288">
        <f>SUMIF('ПО КОРИСНИЦИМА'!$C$3:$C$547,B172,'ПО КОРИСНИЦИМА'!$H$3:$H$547)</f>
        <v>21500000</v>
      </c>
      <c r="E172" s="292">
        <f t="shared" si="12"/>
        <v>2.6348039215686275E-2</v>
      </c>
      <c r="F172" s="413">
        <f>SUMIF('ПО КОРИСНИЦИМА'!$C$3:$C$547,B172,'ПО КОРИСНИЦИМА'!$I$3:$I$547)</f>
        <v>98000000</v>
      </c>
      <c r="G172" s="288">
        <f>D172+F172</f>
        <v>119500000</v>
      </c>
      <c r="H172" s="290"/>
    </row>
    <row r="173" spans="1:8" hidden="1">
      <c r="A173" s="227"/>
      <c r="B173" s="234" t="s">
        <v>4328</v>
      </c>
      <c r="C173" s="262" t="str">
        <f>IFERROR(VLOOKUP(B173,'ПО КОРИСНИЦИМА'!$C$3:$J$508,5,FALSE),"")</f>
        <v/>
      </c>
      <c r="D173" s="288">
        <f>SUMIF('ПО КОРИСНИЦИМА'!$C$3:$C$547,B173,'ПО КОРИСНИЦИМА'!$H$3:$H$547)</f>
        <v>0</v>
      </c>
      <c r="E173" s="292">
        <f t="shared" si="12"/>
        <v>0</v>
      </c>
      <c r="F173" s="413">
        <f>SUMIF('ПО КОРИСНИЦИМА'!$C$3:$C$547,B173,'ПО КОРИСНИЦИМА'!$I$3:$I$547)</f>
        <v>0</v>
      </c>
      <c r="G173" s="288">
        <f t="shared" ref="G173:G191" si="14">D173+F173</f>
        <v>0</v>
      </c>
      <c r="H173" s="290"/>
    </row>
    <row r="174" spans="1:8" hidden="1">
      <c r="A174" s="227"/>
      <c r="B174" s="234" t="s">
        <v>4518</v>
      </c>
      <c r="C174" s="262" t="str">
        <f>IFERROR(VLOOKUP(B174,'ПО КОРИСНИЦИМА'!$C$3:$J$508,5,FALSE),"")</f>
        <v/>
      </c>
      <c r="D174" s="288">
        <f>SUMIF('ПО КОРИСНИЦИМА'!$C$3:$C$547,B174,'ПО КОРИСНИЦИМА'!$H$3:$H$547)</f>
        <v>0</v>
      </c>
      <c r="E174" s="292">
        <f t="shared" ref="E174:E205" si="15">IFERROR(D174/$D$341,"-")</f>
        <v>0</v>
      </c>
      <c r="F174" s="413">
        <f>SUMIF('ПО КОРИСНИЦИМА'!$C$3:$C$547,B174,'ПО КОРИСНИЦИМА'!$I$3:$I$547)</f>
        <v>0</v>
      </c>
      <c r="G174" s="288">
        <f t="shared" si="14"/>
        <v>0</v>
      </c>
      <c r="H174" s="290"/>
    </row>
    <row r="175" spans="1:8" hidden="1">
      <c r="A175" s="227"/>
      <c r="B175" s="234" t="s">
        <v>4519</v>
      </c>
      <c r="C175" s="262" t="str">
        <f>IFERROR(VLOOKUP(B175,'ПО КОРИСНИЦИМА'!$C$3:$J$508,5,FALSE),"")</f>
        <v/>
      </c>
      <c r="D175" s="288">
        <f>SUMIF('ПО КОРИСНИЦИМА'!$C$3:$C$547,B175,'ПО КОРИСНИЦИМА'!$H$3:$H$547)</f>
        <v>0</v>
      </c>
      <c r="E175" s="292">
        <f t="shared" si="15"/>
        <v>0</v>
      </c>
      <c r="F175" s="413">
        <f>SUMIF('ПО КОРИСНИЦИМА'!$C$3:$C$547,B175,'ПО КОРИСНИЦИМА'!$I$3:$I$547)</f>
        <v>0</v>
      </c>
      <c r="G175" s="288">
        <f t="shared" si="14"/>
        <v>0</v>
      </c>
      <c r="H175" s="290"/>
    </row>
    <row r="176" spans="1:8" hidden="1">
      <c r="A176" s="227"/>
      <c r="B176" s="234" t="s">
        <v>4520</v>
      </c>
      <c r="C176" s="262" t="str">
        <f>IFERROR(VLOOKUP(B176,'ПО КОРИСНИЦИМА'!$C$3:$J$508,5,FALSE),"")</f>
        <v/>
      </c>
      <c r="D176" s="288">
        <f>SUMIF('ПО КОРИСНИЦИМА'!$C$3:$C$547,B176,'ПО КОРИСНИЦИМА'!$H$3:$H$547)</f>
        <v>0</v>
      </c>
      <c r="E176" s="292">
        <f t="shared" si="15"/>
        <v>0</v>
      </c>
      <c r="F176" s="413">
        <f>SUMIF('ПО КОРИСНИЦИМА'!$C$3:$C$547,B176,'ПО КОРИСНИЦИМА'!$I$3:$I$547)</f>
        <v>0</v>
      </c>
      <c r="G176" s="288">
        <f t="shared" si="14"/>
        <v>0</v>
      </c>
      <c r="H176" s="290"/>
    </row>
    <row r="177" spans="1:8" hidden="1">
      <c r="A177" s="227"/>
      <c r="B177" s="234" t="s">
        <v>4156</v>
      </c>
      <c r="C177" s="262" t="str">
        <f>IFERROR(VLOOKUP(B177,'ПО КОРИСНИЦИМА'!$C$3:$J$508,5,FALSE),"")</f>
        <v/>
      </c>
      <c r="D177" s="288">
        <f>SUMIF('ПО КОРИСНИЦИМА'!$C$3:$C$547,B177,'ПО КОРИСНИЦИМА'!$H$3:$H$547)</f>
        <v>0</v>
      </c>
      <c r="E177" s="292">
        <f t="shared" si="15"/>
        <v>0</v>
      </c>
      <c r="F177" s="413">
        <f>SUMIF('ПО КОРИСНИЦИМА'!$C$3:$C$547,B177,'ПО КОРИСНИЦИМА'!$I$3:$I$547)</f>
        <v>0</v>
      </c>
      <c r="G177" s="288">
        <f t="shared" si="14"/>
        <v>0</v>
      </c>
      <c r="H177" s="290"/>
    </row>
    <row r="178" spans="1:8" hidden="1">
      <c r="A178" s="227"/>
      <c r="B178" s="234" t="s">
        <v>4157</v>
      </c>
      <c r="C178" s="262" t="str">
        <f>IFERROR(VLOOKUP(B178,'ПО КОРИСНИЦИМА'!$C$3:$J$508,5,FALSE),"")</f>
        <v/>
      </c>
      <c r="D178" s="288">
        <f>SUMIF('ПО КОРИСНИЦИМА'!$C$3:$C$547,B178,'ПО КОРИСНИЦИМА'!$H$3:$H$547)</f>
        <v>0</v>
      </c>
      <c r="E178" s="292">
        <f t="shared" si="15"/>
        <v>0</v>
      </c>
      <c r="F178" s="413">
        <f>SUMIF('ПО КОРИСНИЦИМА'!$C$3:$C$547,B178,'ПО КОРИСНИЦИМА'!$I$3:$I$547)</f>
        <v>0</v>
      </c>
      <c r="G178" s="288">
        <f t="shared" si="14"/>
        <v>0</v>
      </c>
      <c r="H178" s="290"/>
    </row>
    <row r="179" spans="1:8" hidden="1">
      <c r="A179" s="227"/>
      <c r="B179" s="234" t="s">
        <v>4158</v>
      </c>
      <c r="C179" s="262" t="str">
        <f>IFERROR(VLOOKUP(B179,'ПО КОРИСНИЦИМА'!$C$3:$J$508,5,FALSE),"")</f>
        <v/>
      </c>
      <c r="D179" s="288">
        <f>SUMIF('ПО КОРИСНИЦИМА'!$C$3:$C$547,B179,'ПО КОРИСНИЦИМА'!$H$3:$H$547)</f>
        <v>0</v>
      </c>
      <c r="E179" s="292">
        <f t="shared" si="15"/>
        <v>0</v>
      </c>
      <c r="F179" s="413">
        <f>SUMIF('ПО КОРИСНИЦИМА'!$C$3:$C$547,B179,'ПО КОРИСНИЦИМА'!$I$3:$I$547)</f>
        <v>0</v>
      </c>
      <c r="G179" s="288">
        <f t="shared" si="14"/>
        <v>0</v>
      </c>
      <c r="H179" s="290"/>
    </row>
    <row r="180" spans="1:8" hidden="1">
      <c r="A180" s="227"/>
      <c r="B180" s="234" t="s">
        <v>4159</v>
      </c>
      <c r="C180" s="262" t="str">
        <f>IFERROR(VLOOKUP(B180,'ПО КОРИСНИЦИМА'!$C$3:$J$508,5,FALSE),"")</f>
        <v/>
      </c>
      <c r="D180" s="288">
        <f>SUMIF('ПО КОРИСНИЦИМА'!$C$3:$C$547,B180,'ПО КОРИСНИЦИМА'!$H$3:$H$547)</f>
        <v>0</v>
      </c>
      <c r="E180" s="292">
        <f t="shared" si="15"/>
        <v>0</v>
      </c>
      <c r="F180" s="413">
        <f>SUMIF('ПО КОРИСНИЦИМА'!$C$3:$C$547,B180,'ПО КОРИСНИЦИМА'!$I$3:$I$547)</f>
        <v>0</v>
      </c>
      <c r="G180" s="288">
        <f t="shared" si="14"/>
        <v>0</v>
      </c>
      <c r="H180" s="290"/>
    </row>
    <row r="181" spans="1:8" hidden="1">
      <c r="A181" s="227"/>
      <c r="B181" s="234" t="s">
        <v>4160</v>
      </c>
      <c r="C181" s="262" t="str">
        <f>IFERROR(VLOOKUP(B181,'ПО КОРИСНИЦИМА'!$C$3:$J$508,5,FALSE),"")</f>
        <v/>
      </c>
      <c r="D181" s="288">
        <f>SUMIF('ПО КОРИСНИЦИМА'!$C$3:$C$547,B181,'ПО КОРИСНИЦИМА'!$H$3:$H$547)</f>
        <v>0</v>
      </c>
      <c r="E181" s="292">
        <f t="shared" si="15"/>
        <v>0</v>
      </c>
      <c r="F181" s="413">
        <f>SUMIF('ПО КОРИСНИЦИМА'!$C$3:$C$547,B181,'ПО КОРИСНИЦИМА'!$I$3:$I$547)</f>
        <v>0</v>
      </c>
      <c r="G181" s="288">
        <f t="shared" si="14"/>
        <v>0</v>
      </c>
      <c r="H181" s="290"/>
    </row>
    <row r="182" spans="1:8" hidden="1">
      <c r="A182" s="227"/>
      <c r="B182" s="234" t="s">
        <v>4161</v>
      </c>
      <c r="C182" s="262" t="str">
        <f>IFERROR(VLOOKUP(B182,'ПО КОРИСНИЦИМА'!$C$3:$J$508,5,FALSE),"")</f>
        <v/>
      </c>
      <c r="D182" s="288">
        <f>SUMIF('ПО КОРИСНИЦИМА'!$C$3:$C$547,B182,'ПО КОРИСНИЦИМА'!$H$3:$H$547)</f>
        <v>0</v>
      </c>
      <c r="E182" s="292">
        <f t="shared" si="15"/>
        <v>0</v>
      </c>
      <c r="F182" s="413">
        <f>SUMIF('ПО КОРИСНИЦИМА'!$C$3:$C$547,B182,'ПО КОРИСНИЦИМА'!$I$3:$I$547)</f>
        <v>0</v>
      </c>
      <c r="G182" s="288">
        <f t="shared" si="14"/>
        <v>0</v>
      </c>
      <c r="H182" s="290"/>
    </row>
    <row r="183" spans="1:8" hidden="1">
      <c r="A183" s="227"/>
      <c r="B183" s="234" t="s">
        <v>4162</v>
      </c>
      <c r="C183" s="262" t="str">
        <f>IFERROR(VLOOKUP(B183,'ПО КОРИСНИЦИМА'!$C$3:$J$508,5,FALSE),"")</f>
        <v/>
      </c>
      <c r="D183" s="288">
        <f>SUMIF('ПО КОРИСНИЦИМА'!$C$3:$C$547,B183,'ПО КОРИСНИЦИМА'!$H$3:$H$547)</f>
        <v>0</v>
      </c>
      <c r="E183" s="292">
        <f t="shared" si="15"/>
        <v>0</v>
      </c>
      <c r="F183" s="413">
        <f>SUMIF('ПО КОРИСНИЦИМА'!$C$3:$C$547,B183,'ПО КОРИСНИЦИМА'!$I$3:$I$547)</f>
        <v>0</v>
      </c>
      <c r="G183" s="288">
        <f t="shared" si="14"/>
        <v>0</v>
      </c>
      <c r="H183" s="290"/>
    </row>
    <row r="184" spans="1:8" hidden="1">
      <c r="A184" s="227"/>
      <c r="B184" s="234" t="s">
        <v>4163</v>
      </c>
      <c r="C184" s="262" t="str">
        <f>IFERROR(VLOOKUP(B184,'ПО КОРИСНИЦИМА'!$C$3:$J$508,5,FALSE),"")</f>
        <v/>
      </c>
      <c r="D184" s="288">
        <f>SUMIF('ПО КОРИСНИЦИМА'!$C$3:$C$547,B184,'ПО КОРИСНИЦИМА'!$H$3:$H$547)</f>
        <v>0</v>
      </c>
      <c r="E184" s="292">
        <f t="shared" si="15"/>
        <v>0</v>
      </c>
      <c r="F184" s="413">
        <f>SUMIF('ПО КОРИСНИЦИМА'!$C$3:$C$547,B184,'ПО КОРИСНИЦИМА'!$I$3:$I$547)</f>
        <v>0</v>
      </c>
      <c r="G184" s="288">
        <f t="shared" si="14"/>
        <v>0</v>
      </c>
      <c r="H184" s="290"/>
    </row>
    <row r="185" spans="1:8" hidden="1">
      <c r="A185" s="227"/>
      <c r="B185" s="234" t="s">
        <v>4164</v>
      </c>
      <c r="C185" s="262" t="str">
        <f>IFERROR(VLOOKUP(B185,'ПО КОРИСНИЦИМА'!$C$3:$J$508,5,FALSE),"")</f>
        <v/>
      </c>
      <c r="D185" s="288">
        <f>SUMIF('ПО КОРИСНИЦИМА'!$C$3:$C$547,B185,'ПО КОРИСНИЦИМА'!$H$3:$H$547)</f>
        <v>0</v>
      </c>
      <c r="E185" s="292">
        <f t="shared" si="15"/>
        <v>0</v>
      </c>
      <c r="F185" s="413">
        <f>SUMIF('ПО КОРИСНИЦИМА'!$C$3:$C$547,B185,'ПО КОРИСНИЦИМА'!$I$3:$I$547)</f>
        <v>0</v>
      </c>
      <c r="G185" s="288">
        <f t="shared" si="14"/>
        <v>0</v>
      </c>
      <c r="H185" s="290"/>
    </row>
    <row r="186" spans="1:8" hidden="1">
      <c r="A186" s="227"/>
      <c r="B186" s="234" t="s">
        <v>4165</v>
      </c>
      <c r="C186" s="262" t="str">
        <f>IFERROR(VLOOKUP(B186,'ПО КОРИСНИЦИМА'!$C$3:$J$508,5,FALSE),"")</f>
        <v/>
      </c>
      <c r="D186" s="288">
        <f>SUMIF('ПО КОРИСНИЦИМА'!$C$3:$C$547,B186,'ПО КОРИСНИЦИМА'!$H$3:$H$547)</f>
        <v>0</v>
      </c>
      <c r="E186" s="292">
        <f t="shared" si="15"/>
        <v>0</v>
      </c>
      <c r="F186" s="413">
        <f>SUMIF('ПО КОРИСНИЦИМА'!$C$3:$C$547,B186,'ПО КОРИСНИЦИМА'!$I$3:$I$547)</f>
        <v>0</v>
      </c>
      <c r="G186" s="288">
        <f t="shared" si="14"/>
        <v>0</v>
      </c>
      <c r="H186" s="290"/>
    </row>
    <row r="187" spans="1:8" hidden="1">
      <c r="A187" s="227"/>
      <c r="B187" s="234" t="s">
        <v>4166</v>
      </c>
      <c r="C187" s="262" t="str">
        <f>IFERROR(VLOOKUP(B187,'ПО КОРИСНИЦИМА'!$C$3:$J$508,5,FALSE),"")</f>
        <v/>
      </c>
      <c r="D187" s="288">
        <f>SUMIF('ПО КОРИСНИЦИМА'!$C$3:$C$547,B187,'ПО КОРИСНИЦИМА'!$H$3:$H$547)</f>
        <v>0</v>
      </c>
      <c r="E187" s="292">
        <f t="shared" si="15"/>
        <v>0</v>
      </c>
      <c r="F187" s="413">
        <f>SUMIF('ПО КОРИСНИЦИМА'!$C$3:$C$547,B187,'ПО КОРИСНИЦИМА'!$I$3:$I$547)</f>
        <v>0</v>
      </c>
      <c r="G187" s="288">
        <f t="shared" si="14"/>
        <v>0</v>
      </c>
      <c r="H187" s="290"/>
    </row>
    <row r="188" spans="1:8" hidden="1">
      <c r="A188" s="227"/>
      <c r="B188" s="234" t="s">
        <v>4167</v>
      </c>
      <c r="C188" s="262" t="str">
        <f>IFERROR(VLOOKUP(B188,'ПО КОРИСНИЦИМА'!$C$3:$J$508,5,FALSE),"")</f>
        <v/>
      </c>
      <c r="D188" s="288">
        <f>SUMIF('ПО КОРИСНИЦИМА'!$C$3:$C$547,B188,'ПО КОРИСНИЦИМА'!$H$3:$H$547)</f>
        <v>0</v>
      </c>
      <c r="E188" s="292">
        <f t="shared" si="15"/>
        <v>0</v>
      </c>
      <c r="F188" s="413">
        <f>SUMIF('ПО КОРИСНИЦИМА'!$C$3:$C$547,B188,'ПО КОРИСНИЦИМА'!$I$3:$I$547)</f>
        <v>0</v>
      </c>
      <c r="G188" s="288">
        <f t="shared" si="14"/>
        <v>0</v>
      </c>
      <c r="H188" s="290"/>
    </row>
    <row r="189" spans="1:8" hidden="1">
      <c r="A189" s="227"/>
      <c r="B189" s="234" t="s">
        <v>4168</v>
      </c>
      <c r="C189" s="262" t="str">
        <f>IFERROR(VLOOKUP(B189,'ПО КОРИСНИЦИМА'!$C$3:$J$508,5,FALSE),"")</f>
        <v/>
      </c>
      <c r="D189" s="288">
        <f>SUMIF('ПО КОРИСНИЦИМА'!$C$3:$C$547,B189,'ПО КОРИСНИЦИМА'!$H$3:$H$547)</f>
        <v>0</v>
      </c>
      <c r="E189" s="292">
        <f t="shared" si="15"/>
        <v>0</v>
      </c>
      <c r="F189" s="413">
        <f>SUMIF('ПО КОРИСНИЦИМА'!$C$3:$C$547,B189,'ПО КОРИСНИЦИМА'!$I$3:$I$547)</f>
        <v>0</v>
      </c>
      <c r="G189" s="288">
        <f t="shared" si="14"/>
        <v>0</v>
      </c>
      <c r="H189" s="290"/>
    </row>
    <row r="190" spans="1:8" hidden="1">
      <c r="A190" s="227"/>
      <c r="B190" s="234" t="s">
        <v>4169</v>
      </c>
      <c r="C190" s="262" t="str">
        <f>IFERROR(VLOOKUP(B190,'ПО КОРИСНИЦИМА'!$C$3:$J$508,5,FALSE),"")</f>
        <v/>
      </c>
      <c r="D190" s="288">
        <f>SUMIF('ПО КОРИСНИЦИМА'!$C$3:$C$547,B190,'ПО КОРИСНИЦИМА'!$H$3:$H$547)</f>
        <v>0</v>
      </c>
      <c r="E190" s="292">
        <f t="shared" si="15"/>
        <v>0</v>
      </c>
      <c r="F190" s="413">
        <f>SUMIF('ПО КОРИСНИЦИМА'!$C$3:$C$547,B190,'ПО КОРИСНИЦИМА'!$I$3:$I$547)</f>
        <v>0</v>
      </c>
      <c r="G190" s="288">
        <f t="shared" si="14"/>
        <v>0</v>
      </c>
      <c r="H190" s="290"/>
    </row>
    <row r="191" spans="1:8" hidden="1">
      <c r="A191" s="227"/>
      <c r="B191" s="234" t="s">
        <v>4170</v>
      </c>
      <c r="C191" s="262" t="str">
        <f>IFERROR(VLOOKUP(B191,'ПО КОРИСНИЦИМА'!$C$3:$J$508,5,FALSE),"")</f>
        <v/>
      </c>
      <c r="D191" s="288">
        <f>SUMIF('ПО КОРИСНИЦИМА'!$C$3:$C$547,B191,'ПО КОРИСНИЦИМА'!$H$3:$H$547)</f>
        <v>0</v>
      </c>
      <c r="E191" s="292">
        <f t="shared" si="15"/>
        <v>0</v>
      </c>
      <c r="F191" s="413">
        <f>SUMIF('ПО КОРИСНИЦИМА'!$C$3:$C$547,B191,'ПО КОРИСНИЦИМА'!$I$3:$I$547)</f>
        <v>0</v>
      </c>
      <c r="G191" s="288">
        <f t="shared" si="14"/>
        <v>0</v>
      </c>
      <c r="H191" s="290"/>
    </row>
    <row r="192" spans="1:8" s="94" customFormat="1" ht="14.25">
      <c r="A192" s="229" t="s">
        <v>3583</v>
      </c>
      <c r="B192" s="230"/>
      <c r="C192" s="260" t="s">
        <v>4424</v>
      </c>
      <c r="D192" s="284">
        <f>SUM(D193:D213)</f>
        <v>22500000</v>
      </c>
      <c r="E192" s="285">
        <f t="shared" si="15"/>
        <v>2.7573529411764705E-2</v>
      </c>
      <c r="F192" s="286">
        <f>SUM(F193:F213)</f>
        <v>0</v>
      </c>
      <c r="G192" s="284">
        <f t="shared" si="10"/>
        <v>22500000</v>
      </c>
      <c r="H192" s="286"/>
    </row>
    <row r="193" spans="1:8">
      <c r="A193" s="228"/>
      <c r="B193" s="234" t="s">
        <v>4048</v>
      </c>
      <c r="C193" s="266" t="s">
        <v>3977</v>
      </c>
      <c r="D193" s="288">
        <f>SUMIF('ПО КОРИСНИЦИМА'!$C$3:$C$547,B193,'ПО КОРИСНИЦИМА'!$H$3:$H$547)</f>
        <v>22500000</v>
      </c>
      <c r="E193" s="292">
        <f t="shared" si="15"/>
        <v>2.7573529411764705E-2</v>
      </c>
      <c r="F193" s="413">
        <f>SUMIF('ПО КОРИСНИЦИМА'!$C$3:$C$547,B193,'ПО КОРИСНИЦИМА'!$I$3:$I$547)</f>
        <v>0</v>
      </c>
      <c r="G193" s="288">
        <f t="shared" si="10"/>
        <v>22500000</v>
      </c>
      <c r="H193" s="290"/>
    </row>
    <row r="194" spans="1:8" hidden="1">
      <c r="A194" s="96"/>
      <c r="B194" s="96" t="s">
        <v>4171</v>
      </c>
      <c r="C194" s="631" t="str">
        <f>IFERROR(VLOOKUP(B194,'ПО КОРИСНИЦИМА'!$C$3:$J$508,5,FALSE),"")</f>
        <v/>
      </c>
      <c r="D194" s="288">
        <f>SUMIF('ПО КОРИСНИЦИМА'!$C$3:$C$547,B194,'ПО КОРИСНИЦИМА'!$H$3:$H$547)</f>
        <v>0</v>
      </c>
      <c r="E194" s="292">
        <f t="shared" si="15"/>
        <v>0</v>
      </c>
      <c r="F194" s="413">
        <f>SUMIF('ПО КОРИСНИЦИМА'!$C$3:$C$547,B194,'ПО КОРИСНИЦИМА'!$I$3:$I$547)</f>
        <v>0</v>
      </c>
      <c r="G194" s="288">
        <f t="shared" ref="G194:G213" si="16">D194+F194</f>
        <v>0</v>
      </c>
      <c r="H194" s="294"/>
    </row>
    <row r="195" spans="1:8" hidden="1">
      <c r="A195" s="96"/>
      <c r="B195" s="96" t="s">
        <v>4521</v>
      </c>
      <c r="C195" s="262" t="str">
        <f>IFERROR(VLOOKUP(B195,'ПО КОРИСНИЦИМА'!$C$3:$J$508,5,FALSE),"")</f>
        <v/>
      </c>
      <c r="D195" s="280">
        <f>SUMIF('ПО КОРИСНИЦИМА'!$G$3:$G$508,"Свега за пројекат 2003-П6:",'ПО КОРИСНИЦИМА'!$H$3:$H$508)</f>
        <v>0</v>
      </c>
      <c r="E195" s="292">
        <f t="shared" si="15"/>
        <v>0</v>
      </c>
      <c r="F195" s="92">
        <f>SUMIF('ПО КОРИСНИЦИМА'!$G$3:$G$508,"Свега за пројекат 2003-П6:",'ПО КОРИСНИЦИМА'!$I$3:$I$508)</f>
        <v>0</v>
      </c>
      <c r="G195" s="288">
        <f t="shared" si="16"/>
        <v>0</v>
      </c>
      <c r="H195" s="293"/>
    </row>
    <row r="196" spans="1:8" hidden="1">
      <c r="A196" s="96"/>
      <c r="B196" s="96" t="s">
        <v>4522</v>
      </c>
      <c r="C196" s="262" t="str">
        <f>IFERROR(VLOOKUP(B196,'ПО КОРИСНИЦИМА'!$C$3:$J$508,5,FALSE),"")</f>
        <v/>
      </c>
      <c r="D196" s="280">
        <f>SUMIF('ПО КОРИСНИЦИМА'!$G$3:$G$508,"Свега за пројекат 2003-П7:",'ПО КОРИСНИЦИМА'!$H$3:$H$508)</f>
        <v>0</v>
      </c>
      <c r="E196" s="292">
        <f t="shared" si="15"/>
        <v>0</v>
      </c>
      <c r="F196" s="92">
        <f>SUMIF('ПО КОРИСНИЦИМА'!$G$3:$G$508,"Свега за пројекат 2003-П7:",'ПО КОРИСНИЦИМА'!$I$3:$I$508)</f>
        <v>0</v>
      </c>
      <c r="G196" s="288">
        <f t="shared" si="16"/>
        <v>0</v>
      </c>
      <c r="H196" s="293"/>
    </row>
    <row r="197" spans="1:8" hidden="1">
      <c r="A197" s="96"/>
      <c r="B197" s="96" t="s">
        <v>4523</v>
      </c>
      <c r="C197" s="262" t="str">
        <f>IFERROR(VLOOKUP(B197,'ПО КОРИСНИЦИМА'!$C$3:$J$508,5,FALSE),"")</f>
        <v/>
      </c>
      <c r="D197" s="280">
        <f>SUMIF('ПО КОРИСНИЦИМА'!$G$3:$G$508,"Свега за пројекат 2003-П8:",'ПО КОРИСНИЦИМА'!$H$3:$H$508)</f>
        <v>0</v>
      </c>
      <c r="E197" s="292">
        <f t="shared" si="15"/>
        <v>0</v>
      </c>
      <c r="F197" s="92">
        <f>SUMIF('ПО КОРИСНИЦИМА'!$G$3:$G$508,"Свега за пројекат 2003-П8:",'ПО КОРИСНИЦИМА'!$I$3:$I$508)</f>
        <v>0</v>
      </c>
      <c r="G197" s="288">
        <f t="shared" si="16"/>
        <v>0</v>
      </c>
      <c r="H197" s="293"/>
    </row>
    <row r="198" spans="1:8" hidden="1">
      <c r="A198" s="96"/>
      <c r="B198" s="96" t="s">
        <v>4524</v>
      </c>
      <c r="C198" s="262" t="str">
        <f>IFERROR(VLOOKUP(B198,'ПО КОРИСНИЦИМА'!$C$3:$J$508,5,FALSE),"")</f>
        <v/>
      </c>
      <c r="D198" s="280">
        <f>SUMIF('ПО КОРИСНИЦИМА'!$G$3:$G$508,"Свега за пројекат 2003-П9:",'ПО КОРИСНИЦИМА'!$H$3:$H$508)</f>
        <v>0</v>
      </c>
      <c r="E198" s="292">
        <f t="shared" si="15"/>
        <v>0</v>
      </c>
      <c r="F198" s="92">
        <f>SUMIF('ПО КОРИСНИЦИМА'!$G$3:$G$508,"Свега за пројекат 2003-П9:",'ПО КОРИСНИЦИМА'!$I$3:$I$508)</f>
        <v>0</v>
      </c>
      <c r="G198" s="288">
        <f t="shared" si="16"/>
        <v>0</v>
      </c>
      <c r="H198" s="293"/>
    </row>
    <row r="199" spans="1:8" hidden="1">
      <c r="A199" s="96"/>
      <c r="B199" s="96" t="s">
        <v>4172</v>
      </c>
      <c r="C199" s="262" t="str">
        <f>IFERROR(VLOOKUP(B199,'ПО КОРИСНИЦИМА'!$C$3:$J$508,5,FALSE),"")</f>
        <v/>
      </c>
      <c r="D199" s="280">
        <f>SUMIF('ПО КОРИСНИЦИМА'!$G$3:$G$508,"Свега за пројекат 2003-П10:",'ПО КОРИСНИЦИМА'!$H$3:$H$508)</f>
        <v>0</v>
      </c>
      <c r="E199" s="292">
        <f t="shared" si="15"/>
        <v>0</v>
      </c>
      <c r="F199" s="92">
        <f>SUMIF('ПО КОРИСНИЦИМА'!$G$3:$G$508,"Свега за пројекат 2003-П10:",'ПО КОРИСНИЦИМА'!$I$3:$I$508)</f>
        <v>0</v>
      </c>
      <c r="G199" s="288">
        <f t="shared" si="16"/>
        <v>0</v>
      </c>
      <c r="H199" s="293"/>
    </row>
    <row r="200" spans="1:8" hidden="1">
      <c r="A200" s="96"/>
      <c r="B200" s="96" t="s">
        <v>4173</v>
      </c>
      <c r="C200" s="262" t="str">
        <f>IFERROR(VLOOKUP(B200,'ПО КОРИСНИЦИМА'!$C$3:$J$508,5,FALSE),"")</f>
        <v/>
      </c>
      <c r="D200" s="280">
        <f>SUMIF('ПО КОРИСНИЦИМА'!$G$3:$G$508,"Свега за пројекат 2003-П11:",'ПО КОРИСНИЦИМА'!$H$3:$H$508)</f>
        <v>0</v>
      </c>
      <c r="E200" s="292">
        <f t="shared" si="15"/>
        <v>0</v>
      </c>
      <c r="F200" s="92">
        <f>SUMIF('ПО КОРИСНИЦИМА'!$G$3:$G$508,"Свега за пројекат 2003-П11:",'ПО КОРИСНИЦИМА'!$I$3:$I$508)</f>
        <v>0</v>
      </c>
      <c r="G200" s="288">
        <f t="shared" si="16"/>
        <v>0</v>
      </c>
      <c r="H200" s="293"/>
    </row>
    <row r="201" spans="1:8" hidden="1">
      <c r="A201" s="96"/>
      <c r="B201" s="96" t="s">
        <v>4174</v>
      </c>
      <c r="C201" s="262" t="str">
        <f>IFERROR(VLOOKUP(B201,'ПО КОРИСНИЦИМА'!$C$3:$J$508,5,FALSE),"")</f>
        <v/>
      </c>
      <c r="D201" s="280">
        <f>SUMIF('ПО КОРИСНИЦИМА'!$G$3:$G$508,"Свега за пројекат 2003-П12:",'ПО КОРИСНИЦИМА'!$H$3:$H$508)</f>
        <v>0</v>
      </c>
      <c r="E201" s="292">
        <f t="shared" si="15"/>
        <v>0</v>
      </c>
      <c r="F201" s="92">
        <f>SUMIF('ПО КОРИСНИЦИМА'!$G$3:$G$508,"Свега за пројекат 2003-П12:",'ПО КОРИСНИЦИМА'!$I$3:$I$508)</f>
        <v>0</v>
      </c>
      <c r="G201" s="288">
        <f t="shared" si="16"/>
        <v>0</v>
      </c>
      <c r="H201" s="293"/>
    </row>
    <row r="202" spans="1:8" hidden="1">
      <c r="A202" s="96"/>
      <c r="B202" s="96" t="s">
        <v>4175</v>
      </c>
      <c r="C202" s="262" t="str">
        <f>IFERROR(VLOOKUP(B202,'ПО КОРИСНИЦИМА'!$C$3:$J$508,5,FALSE),"")</f>
        <v/>
      </c>
      <c r="D202" s="280">
        <f>SUMIF('ПО КОРИСНИЦИМА'!$G$3:$G$508,"Свега за пројекат 2003-П13:",'ПО КОРИСНИЦИМА'!$H$3:$H$508)</f>
        <v>0</v>
      </c>
      <c r="E202" s="292">
        <f t="shared" si="15"/>
        <v>0</v>
      </c>
      <c r="F202" s="92">
        <f>SUMIF('ПО КОРИСНИЦИМА'!$G$3:$G$508,"Свега за пројекат 2003-П13:",'ПО КОРИСНИЦИМА'!$I$3:$I$508)</f>
        <v>0</v>
      </c>
      <c r="G202" s="288">
        <f t="shared" si="16"/>
        <v>0</v>
      </c>
      <c r="H202" s="293"/>
    </row>
    <row r="203" spans="1:8" hidden="1">
      <c r="A203" s="96"/>
      <c r="B203" s="96" t="s">
        <v>4176</v>
      </c>
      <c r="C203" s="262" t="str">
        <f>IFERROR(VLOOKUP(B203,'ПО КОРИСНИЦИМА'!$C$3:$J$508,5,FALSE),"")</f>
        <v/>
      </c>
      <c r="D203" s="280">
        <f>SUMIF('ПО КОРИСНИЦИМА'!$G$3:$G$508,"Свега за пројекат 2003-П14:",'ПО КОРИСНИЦИМА'!$H$3:$H$508)</f>
        <v>0</v>
      </c>
      <c r="E203" s="292">
        <f t="shared" si="15"/>
        <v>0</v>
      </c>
      <c r="F203" s="92">
        <f>SUMIF('ПО КОРИСНИЦИМА'!$G$3:$G$508,"Свега за пројекат 2003-П14:",'ПО КОРИСНИЦИМА'!$I$3:$I$508)</f>
        <v>0</v>
      </c>
      <c r="G203" s="288">
        <f t="shared" si="16"/>
        <v>0</v>
      </c>
      <c r="H203" s="293"/>
    </row>
    <row r="204" spans="1:8" hidden="1">
      <c r="A204" s="96"/>
      <c r="B204" s="96" t="s">
        <v>4177</v>
      </c>
      <c r="C204" s="262" t="str">
        <f>IFERROR(VLOOKUP(B204,'ПО КОРИСНИЦИМА'!$C$3:$J$508,5,FALSE),"")</f>
        <v/>
      </c>
      <c r="D204" s="280">
        <f>SUMIF('ПО КОРИСНИЦИМА'!$G$3:$G$508,"Свега за пројекат 2003-П15:",'ПО КОРИСНИЦИМА'!$H$3:$H$508)</f>
        <v>0</v>
      </c>
      <c r="E204" s="292">
        <f t="shared" si="15"/>
        <v>0</v>
      </c>
      <c r="F204" s="92">
        <f>SUMIF('ПО КОРИСНИЦИМА'!$G$3:$G$508,"Свега за пројекат 2003-П15:",'ПО КОРИСНИЦИМА'!$I$3:$I$508)</f>
        <v>0</v>
      </c>
      <c r="G204" s="288">
        <f t="shared" si="16"/>
        <v>0</v>
      </c>
      <c r="H204" s="293"/>
    </row>
    <row r="205" spans="1:8" hidden="1">
      <c r="A205" s="96"/>
      <c r="B205" s="96" t="s">
        <v>4178</v>
      </c>
      <c r="C205" s="262" t="str">
        <f>IFERROR(VLOOKUP(B205,'ПО КОРИСНИЦИМА'!$C$3:$J$508,5,FALSE),"")</f>
        <v/>
      </c>
      <c r="D205" s="280">
        <f>SUMIF('ПО КОРИСНИЦИМА'!$G$3:$G$508,"Свега за пројекат 2003-П16:",'ПО КОРИСНИЦИМА'!$H$3:$H$508)</f>
        <v>0</v>
      </c>
      <c r="E205" s="292">
        <f t="shared" si="15"/>
        <v>0</v>
      </c>
      <c r="F205" s="92">
        <f>SUMIF('ПО КОРИСНИЦИМА'!$G$3:$G$508,"Свега за пројекат 2003-П16:",'ПО КОРИСНИЦИМА'!$I$3:$I$508)</f>
        <v>0</v>
      </c>
      <c r="G205" s="288">
        <f t="shared" si="16"/>
        <v>0</v>
      </c>
      <c r="H205" s="293"/>
    </row>
    <row r="206" spans="1:8" hidden="1">
      <c r="A206" s="96"/>
      <c r="B206" s="96" t="s">
        <v>4179</v>
      </c>
      <c r="C206" s="262" t="str">
        <f>IFERROR(VLOOKUP(B206,'ПО КОРИСНИЦИМА'!$C$3:$J$508,5,FALSE),"")</f>
        <v/>
      </c>
      <c r="D206" s="280">
        <f>SUMIF('ПО КОРИСНИЦИМА'!$G$3:$G$508,"Свега за пројекат 2003-П17:",'ПО КОРИСНИЦИМА'!$H$3:$H$508)</f>
        <v>0</v>
      </c>
      <c r="E206" s="292">
        <f t="shared" ref="E206:E219" si="17">IFERROR(D206/$D$341,"-")</f>
        <v>0</v>
      </c>
      <c r="F206" s="92">
        <f>SUMIF('ПО КОРИСНИЦИМА'!$G$3:$G$508,"Свега за пројекат 2003-П17:",'ПО КОРИСНИЦИМА'!$I$3:$I$508)</f>
        <v>0</v>
      </c>
      <c r="G206" s="288">
        <f t="shared" si="16"/>
        <v>0</v>
      </c>
      <c r="H206" s="293"/>
    </row>
    <row r="207" spans="1:8" hidden="1">
      <c r="A207" s="96"/>
      <c r="B207" s="96" t="s">
        <v>4180</v>
      </c>
      <c r="C207" s="262" t="str">
        <f>IFERROR(VLOOKUP(B207,'ПО КОРИСНИЦИМА'!$C$3:$J$508,5,FALSE),"")</f>
        <v/>
      </c>
      <c r="D207" s="280">
        <f>SUMIF('ПО КОРИСНИЦИМА'!$G$3:$G$508,"Свега за пројекат 2003-П18:",'ПО КОРИСНИЦИМА'!$H$3:$H$508)</f>
        <v>0</v>
      </c>
      <c r="E207" s="292">
        <f t="shared" si="17"/>
        <v>0</v>
      </c>
      <c r="F207" s="92">
        <f>SUMIF('ПО КОРИСНИЦИМА'!$G$3:$G$508,"Свега за пројекат 2003-П18:",'ПО КОРИСНИЦИМА'!$I$3:$I$508)</f>
        <v>0</v>
      </c>
      <c r="G207" s="288">
        <f t="shared" si="16"/>
        <v>0</v>
      </c>
      <c r="H207" s="293"/>
    </row>
    <row r="208" spans="1:8" hidden="1">
      <c r="A208" s="96"/>
      <c r="B208" s="96" t="s">
        <v>4181</v>
      </c>
      <c r="C208" s="262" t="str">
        <f>IFERROR(VLOOKUP(B208,'ПО КОРИСНИЦИМА'!$C$3:$J$508,5,FALSE),"")</f>
        <v/>
      </c>
      <c r="D208" s="280">
        <f>SUMIF('ПО КОРИСНИЦИМА'!$G$3:$G$508,"Свега за пројекат 2003-П19:",'ПО КОРИСНИЦИМА'!$H$3:$H$508)</f>
        <v>0</v>
      </c>
      <c r="E208" s="292">
        <f t="shared" si="17"/>
        <v>0</v>
      </c>
      <c r="F208" s="92">
        <f>SUMIF('ПО КОРИСНИЦИМА'!$G$3:$G$508,"Свега за пројекат 2003-П19:",'ПО КОРИСНИЦИМА'!$I$3:$I$508)</f>
        <v>0</v>
      </c>
      <c r="G208" s="288">
        <f t="shared" si="16"/>
        <v>0</v>
      </c>
      <c r="H208" s="293"/>
    </row>
    <row r="209" spans="1:8" hidden="1">
      <c r="A209" s="96"/>
      <c r="B209" s="96" t="s">
        <v>4182</v>
      </c>
      <c r="C209" s="262" t="str">
        <f>IFERROR(VLOOKUP(B209,'ПО КОРИСНИЦИМА'!$C$3:$J$508,5,FALSE),"")</f>
        <v/>
      </c>
      <c r="D209" s="280">
        <f>SUMIF('ПО КОРИСНИЦИМА'!$G$3:$G$508,"Свега за пројекат 2003-П20:",'ПО КОРИСНИЦИМА'!$H$3:$H$508)</f>
        <v>0</v>
      </c>
      <c r="E209" s="292">
        <f t="shared" si="17"/>
        <v>0</v>
      </c>
      <c r="F209" s="92">
        <f>SUMIF('ПО КОРИСНИЦИМА'!$G$3:$G$508,"Свега за пројекат 2003-П20:",'ПО КОРИСНИЦИМА'!$I$3:$I$508)</f>
        <v>0</v>
      </c>
      <c r="G209" s="288">
        <f t="shared" si="16"/>
        <v>0</v>
      </c>
      <c r="H209" s="293"/>
    </row>
    <row r="210" spans="1:8" hidden="1">
      <c r="A210" s="96"/>
      <c r="B210" s="96" t="s">
        <v>4183</v>
      </c>
      <c r="C210" s="262" t="str">
        <f>IFERROR(VLOOKUP(B210,'ПО КОРИСНИЦИМА'!$C$3:$J$508,5,FALSE),"")</f>
        <v/>
      </c>
      <c r="D210" s="280">
        <f>SUMIF('ПО КОРИСНИЦИМА'!$G$3:$G$508,"Свега за пројекат 2003-П21:",'ПО КОРИСНИЦИМА'!$H$3:$H$508)</f>
        <v>0</v>
      </c>
      <c r="E210" s="292">
        <f t="shared" si="17"/>
        <v>0</v>
      </c>
      <c r="F210" s="92">
        <f>SUMIF('ПО КОРИСНИЦИМА'!$G$3:$G$508,"Свега за пројекат 2003-П21:",'ПО КОРИСНИЦИМА'!$I$3:$I$508)</f>
        <v>0</v>
      </c>
      <c r="G210" s="288">
        <f t="shared" si="16"/>
        <v>0</v>
      </c>
      <c r="H210" s="293"/>
    </row>
    <row r="211" spans="1:8" hidden="1">
      <c r="A211" s="96"/>
      <c r="B211" s="96" t="s">
        <v>4184</v>
      </c>
      <c r="C211" s="262" t="str">
        <f>IFERROR(VLOOKUP(B211,'ПО КОРИСНИЦИМА'!$C$3:$J$508,5,FALSE),"")</f>
        <v/>
      </c>
      <c r="D211" s="280">
        <f>SUMIF('ПО КОРИСНИЦИМА'!$G$3:$G$508,"Свега за пројекат 2003-П22:",'ПО КОРИСНИЦИМА'!$H$3:$H$508)</f>
        <v>0</v>
      </c>
      <c r="E211" s="292">
        <f t="shared" si="17"/>
        <v>0</v>
      </c>
      <c r="F211" s="92">
        <f>SUMIF('ПО КОРИСНИЦИМА'!$G$3:$G$508,"Свега за пројекат 2003-П22:",'ПО КОРИСНИЦИМА'!$I$3:$I$508)</f>
        <v>0</v>
      </c>
      <c r="G211" s="288">
        <f t="shared" si="16"/>
        <v>0</v>
      </c>
      <c r="H211" s="293"/>
    </row>
    <row r="212" spans="1:8" hidden="1">
      <c r="A212" s="96"/>
      <c r="B212" s="96" t="s">
        <v>4185</v>
      </c>
      <c r="C212" s="262" t="str">
        <f>IFERROR(VLOOKUP(B212,'ПО КОРИСНИЦИМА'!$C$3:$J$508,5,FALSE),"")</f>
        <v/>
      </c>
      <c r="D212" s="280">
        <f>SUMIF('ПО КОРИСНИЦИМА'!$G$3:$G$508,"Свега за пројекат 2003-П23:",'ПО КОРИСНИЦИМА'!$H$3:$H$508)</f>
        <v>0</v>
      </c>
      <c r="E212" s="292">
        <f t="shared" si="17"/>
        <v>0</v>
      </c>
      <c r="F212" s="92">
        <f>SUMIF('ПО КОРИСНИЦИМА'!$G$3:$G$508,"Свега за пројекат 2003-П23:",'ПО КОРИСНИЦИМА'!$I$3:$I$508)</f>
        <v>0</v>
      </c>
      <c r="G212" s="288">
        <f t="shared" si="16"/>
        <v>0</v>
      </c>
      <c r="H212" s="293"/>
    </row>
    <row r="213" spans="1:8" hidden="1">
      <c r="A213" s="96"/>
      <c r="B213" s="96" t="s">
        <v>4186</v>
      </c>
      <c r="C213" s="262" t="str">
        <f>IFERROR(VLOOKUP(B213,'ПО КОРИСНИЦИМА'!$C$3:$J$508,5,FALSE),"")</f>
        <v/>
      </c>
      <c r="D213" s="280">
        <f>SUMIF('ПО КОРИСНИЦИМА'!$G$3:$G$508,"Свега за пројекат 2003-П24:",'ПО КОРИСНИЦИМА'!$H$3:$H$508)</f>
        <v>0</v>
      </c>
      <c r="E213" s="292">
        <f t="shared" si="17"/>
        <v>0</v>
      </c>
      <c r="F213" s="92">
        <f>SUMIF('ПО КОРИСНИЦИМА'!$G$3:$G$508,"Свега за пројекат 2003-П24:",'ПО КОРИСНИЦИМА'!$I$3:$I$508)</f>
        <v>0</v>
      </c>
      <c r="G213" s="288">
        <f t="shared" si="16"/>
        <v>0</v>
      </c>
      <c r="H213" s="293"/>
    </row>
    <row r="214" spans="1:8" s="94" customFormat="1" ht="14.25">
      <c r="A214" s="229" t="s">
        <v>3586</v>
      </c>
      <c r="B214" s="230"/>
      <c r="C214" s="260" t="s">
        <v>3669</v>
      </c>
      <c r="D214" s="284">
        <f>SUM(D215:D242)</f>
        <v>58710000</v>
      </c>
      <c r="E214" s="285">
        <f t="shared" si="17"/>
        <v>7.1948529411764703E-2</v>
      </c>
      <c r="F214" s="286">
        <f>SUM(F215:F242)</f>
        <v>6000000</v>
      </c>
      <c r="G214" s="284">
        <f t="shared" si="10"/>
        <v>64710000</v>
      </c>
      <c r="H214" s="286"/>
    </row>
    <row r="215" spans="1:8">
      <c r="A215" s="228"/>
      <c r="B215" s="232" t="s">
        <v>3982</v>
      </c>
      <c r="C215" s="268" t="s">
        <v>4478</v>
      </c>
      <c r="D215" s="288">
        <f>SUMIF('ПО КОРИСНИЦИМА'!$C$3:$C$547,B215,'ПО КОРИСНИЦИМА'!$H$3:$H$547)</f>
        <v>13900000</v>
      </c>
      <c r="E215" s="289">
        <f t="shared" si="17"/>
        <v>1.7034313725490195E-2</v>
      </c>
      <c r="F215" s="413">
        <f>SUMIF('ПО КОРИСНИЦИМА'!$C$3:$C$547,B215,'ПО КОРИСНИЦИМА'!$I$3:$I$547)</f>
        <v>6000000</v>
      </c>
      <c r="G215" s="297">
        <f t="shared" si="10"/>
        <v>19900000</v>
      </c>
      <c r="H215" s="290"/>
    </row>
    <row r="216" spans="1:8" ht="25.5" hidden="1">
      <c r="A216" s="93"/>
      <c r="B216" s="95" t="s">
        <v>3983</v>
      </c>
      <c r="C216" s="633" t="s">
        <v>4525</v>
      </c>
      <c r="D216" s="288">
        <f>SUMIF('ПО КОРИСНИЦИМА'!$C$3:$C$547,B216,'ПО КОРИСНИЦИМА'!$H$3:$H$547)</f>
        <v>0</v>
      </c>
      <c r="E216" s="292">
        <f t="shared" si="17"/>
        <v>0</v>
      </c>
      <c r="F216" s="413">
        <f>SUMIF('ПО КОРИСНИЦИМА'!$C$3:$C$547,B216,'ПО КОРИСНИЦИМА'!$I$3:$I$547)</f>
        <v>0</v>
      </c>
      <c r="G216" s="297">
        <f t="shared" ref="G216:G242" si="18">D216+F216</f>
        <v>0</v>
      </c>
      <c r="H216" s="294"/>
    </row>
    <row r="217" spans="1:8">
      <c r="A217" s="93"/>
      <c r="B217" s="95" t="s">
        <v>3984</v>
      </c>
      <c r="C217" s="269" t="s">
        <v>4482</v>
      </c>
      <c r="D217" s="288">
        <f>SUMIF('ПО КОРИСНИЦИМА'!$C$3:$C$547,B217,'ПО КОРИСНИЦИМА'!$H$3:$H$547)</f>
        <v>5400000</v>
      </c>
      <c r="E217" s="292">
        <f t="shared" si="17"/>
        <v>6.6176470588235293E-3</v>
      </c>
      <c r="F217" s="413">
        <f>SUMIF('ПО КОРИСНИЦИМА'!$C$3:$C$547,B217,'ПО КОРИСНИЦИМА'!$I$3:$I$547)</f>
        <v>0</v>
      </c>
      <c r="G217" s="297">
        <f t="shared" si="18"/>
        <v>5400000</v>
      </c>
      <c r="H217" s="294"/>
    </row>
    <row r="218" spans="1:8" hidden="1">
      <c r="A218" s="93"/>
      <c r="B218" s="95" t="s">
        <v>3985</v>
      </c>
      <c r="C218" s="269" t="s">
        <v>3986</v>
      </c>
      <c r="D218" s="288">
        <f>SUMIF('ПО КОРИСНИЦИМА'!$C$3:$C$547,B218,'ПО КОРИСНИЦИМА'!$H$3:$H$547)</f>
        <v>0</v>
      </c>
      <c r="E218" s="292">
        <f t="shared" si="17"/>
        <v>0</v>
      </c>
      <c r="F218" s="413">
        <f>SUMIF('ПО КОРИСНИЦИМА'!$C$3:$C$547,B218,'ПО КОРИСНИЦИМА'!$I$3:$I$547)</f>
        <v>0</v>
      </c>
      <c r="G218" s="297">
        <f t="shared" si="18"/>
        <v>0</v>
      </c>
      <c r="H218" s="294"/>
    </row>
    <row r="219" spans="1:8">
      <c r="A219" s="93"/>
      <c r="B219" s="95" t="s">
        <v>3987</v>
      </c>
      <c r="C219" s="269" t="s">
        <v>4427</v>
      </c>
      <c r="D219" s="288">
        <f>SUMIF('ПО КОРИСНИЦИМА'!$C$3:$C$547,B219,'ПО КОРИСНИЦИМА'!$H$3:$H$547)</f>
        <v>5350000</v>
      </c>
      <c r="E219" s="292">
        <f t="shared" si="17"/>
        <v>6.556372549019608E-3</v>
      </c>
      <c r="F219" s="413">
        <f>SUMIF('ПО КОРИСНИЦИМА'!$C$3:$C$547,B219,'ПО КОРИСНИЦИМА'!$I$3:$I$547)</f>
        <v>0</v>
      </c>
      <c r="G219" s="297">
        <f t="shared" si="18"/>
        <v>5350000</v>
      </c>
      <c r="H219" s="294"/>
    </row>
    <row r="220" spans="1:8">
      <c r="A220" s="93"/>
      <c r="B220" s="95" t="s">
        <v>4263</v>
      </c>
      <c r="C220" s="269" t="s">
        <v>4370</v>
      </c>
      <c r="D220" s="288">
        <f>SUMIF('ПО КОРИСНИЦИМА'!$C$3:$C$547,B220,'ПО КОРИСНИЦИМА'!$H$3:$H$547)</f>
        <v>6020000</v>
      </c>
      <c r="E220" s="292">
        <f>IFERROR(D220/$D$341,"-")</f>
        <v>7.377450980392157E-3</v>
      </c>
      <c r="F220" s="413">
        <f>SUMIF('ПО КОРИСНИЦИМА'!$C$3:$C$547,B220,'ПО КОРИСНИЦИМА'!$I$3:$I$547)</f>
        <v>0</v>
      </c>
      <c r="G220" s="297">
        <f>D220+F220</f>
        <v>6020000</v>
      </c>
      <c r="H220" s="294"/>
    </row>
    <row r="221" spans="1:8">
      <c r="A221" s="93"/>
      <c r="B221" s="95" t="s">
        <v>4425</v>
      </c>
      <c r="C221" s="269" t="s">
        <v>4485</v>
      </c>
      <c r="D221" s="288">
        <f>SUMIF('ПО КОРИСНИЦИМА'!$C$3:$C$547,B221,'ПО КОРИСНИЦИМА'!$H$3:$H$547)</f>
        <v>4600000</v>
      </c>
      <c r="E221" s="292">
        <f>IFERROR(D221/$D$341,"-")</f>
        <v>5.6372549019607842E-3</v>
      </c>
      <c r="F221" s="413">
        <f>SUMIF('ПО КОРИСНИЦИМА'!$C$3:$C$547,B221,'ПО КОРИСНИЦИМА'!$I$3:$I$547)</f>
        <v>0</v>
      </c>
      <c r="G221" s="297">
        <f t="shared" si="18"/>
        <v>4600000</v>
      </c>
      <c r="H221" s="293"/>
    </row>
    <row r="222" spans="1:8">
      <c r="A222" s="93"/>
      <c r="B222" s="95" t="s">
        <v>4426</v>
      </c>
      <c r="C222" s="269" t="s">
        <v>4526</v>
      </c>
      <c r="D222" s="288">
        <f>SUMIF('ПО КОРИСНИЦИМА'!$C$3:$C$547,B222,'ПО КОРИСНИЦИМА'!$H$3:$H$547)</f>
        <v>3000000</v>
      </c>
      <c r="E222" s="292">
        <f>IFERROR(D222/$D$341,"-")</f>
        <v>3.6764705882352941E-3</v>
      </c>
      <c r="F222" s="413">
        <f>SUMIF('ПО КОРИСНИЦИМА'!$C$3:$C$547,B222,'ПО КОРИСНИЦИМА'!$I$3:$I$547)</f>
        <v>0</v>
      </c>
      <c r="G222" s="297">
        <f>D222+F222</f>
        <v>3000000</v>
      </c>
      <c r="H222" s="293"/>
    </row>
    <row r="223" spans="1:8">
      <c r="A223" s="93"/>
      <c r="B223" s="95" t="s">
        <v>4187</v>
      </c>
      <c r="C223" s="262" t="s">
        <v>4695</v>
      </c>
      <c r="D223" s="288">
        <f>SUMIF('ПО КОРИСНИЦИМА'!$C$3:$C$547,B223,'ПО КОРИСНИЦИМА'!$H$3:$H$547)</f>
        <v>20440000</v>
      </c>
      <c r="E223" s="292">
        <f t="shared" ref="E223:E254" si="19">IFERROR(D223/$D$341,"-")</f>
        <v>2.5049019607843136E-2</v>
      </c>
      <c r="F223" s="413">
        <f>SUMIF('ПО КОРИСНИЦИМА'!$C$3:$C$547,B223,'ПО КОРИСНИЦИМА'!$I$3:$I$547)</f>
        <v>0</v>
      </c>
      <c r="G223" s="297">
        <f t="shared" si="18"/>
        <v>20440000</v>
      </c>
      <c r="H223" s="294"/>
    </row>
    <row r="224" spans="1:8" hidden="1">
      <c r="A224" s="93"/>
      <c r="B224" s="95" t="s">
        <v>4188</v>
      </c>
      <c r="C224" s="262"/>
      <c r="D224" s="288">
        <f>SUMIF('ПО КОРИСНИЦИМА'!$C$3:$C$547,B224,'ПО КОРИСНИЦИМА'!$H$3:$H$547)</f>
        <v>0</v>
      </c>
      <c r="E224" s="292">
        <f t="shared" si="19"/>
        <v>0</v>
      </c>
      <c r="F224" s="413">
        <f>SUMIF('ПО КОРИСНИЦИМА'!$C$3:$C$547,B224,'ПО КОРИСНИЦИМА'!$I$3:$I$547)</f>
        <v>0</v>
      </c>
      <c r="G224" s="297">
        <f>D224+F224</f>
        <v>0</v>
      </c>
      <c r="H224" s="294"/>
    </row>
    <row r="225" spans="1:8" hidden="1">
      <c r="A225" s="93"/>
      <c r="B225" s="95" t="s">
        <v>4189</v>
      </c>
      <c r="C225" s="262"/>
      <c r="D225" s="288">
        <f>SUMIF('ПО КОРИСНИЦИМА'!$C$3:$C$547,B225,'ПО КОРИСНИЦИМА'!$H$3:$H$547)</f>
        <v>0</v>
      </c>
      <c r="E225" s="292">
        <f t="shared" si="19"/>
        <v>0</v>
      </c>
      <c r="F225" s="413">
        <f>SUMIF('ПО КОРИСНИЦИМА'!$C$3:$C$547,B225,'ПО КОРИСНИЦИМА'!$I$3:$I$547)</f>
        <v>0</v>
      </c>
      <c r="G225" s="297">
        <f t="shared" si="18"/>
        <v>0</v>
      </c>
      <c r="H225" s="293"/>
    </row>
    <row r="226" spans="1:8" hidden="1">
      <c r="A226" s="93"/>
      <c r="B226" s="95" t="s">
        <v>4190</v>
      </c>
      <c r="C226" s="262" t="str">
        <f>IFERROR(VLOOKUP(B226,'ПО КОРИСНИЦИМА'!$C$3:$J$508,5,FALSE),"")</f>
        <v/>
      </c>
      <c r="D226" s="288">
        <f>SUMIF('ПО КОРИСНИЦИМА'!$C$3:$C$547,B226,'ПО КОРИСНИЦИМА'!$H$3:$H$547)</f>
        <v>0</v>
      </c>
      <c r="E226" s="292">
        <f t="shared" si="19"/>
        <v>0</v>
      </c>
      <c r="F226" s="413">
        <f>SUMIF('ПО КОРИСНИЦИМА'!$C$3:$C$547,B226,'ПО КОРИСНИЦИМА'!$I$3:$I$547)</f>
        <v>0</v>
      </c>
      <c r="G226" s="297">
        <f t="shared" si="18"/>
        <v>0</v>
      </c>
      <c r="H226" s="293"/>
    </row>
    <row r="227" spans="1:8" hidden="1">
      <c r="A227" s="93"/>
      <c r="B227" s="95" t="s">
        <v>4527</v>
      </c>
      <c r="C227" s="262" t="str">
        <f>IFERROR(VLOOKUP(B227,'ПО КОРИСНИЦИМА'!$C$3:$J$508,5,FALSE),"")</f>
        <v/>
      </c>
      <c r="D227" s="280">
        <f>SUMIF('ПО КОРИСНИЦИМА'!$G$3:$G$508,"Свега за пројекат 0901-П6:",'ПО КОРИСНИЦИМА'!$H$3:$H$508)</f>
        <v>0</v>
      </c>
      <c r="E227" s="292">
        <f t="shared" si="19"/>
        <v>0</v>
      </c>
      <c r="F227" s="92">
        <f>SUMIF('ПО КОРИСНИЦИМА'!$G$3:$G$508,"Свега за пројекат 0901-П6:",'ПО КОРИСНИЦИМА'!$I$3:$I$508)</f>
        <v>0</v>
      </c>
      <c r="G227" s="297">
        <f t="shared" si="18"/>
        <v>0</v>
      </c>
      <c r="H227" s="293"/>
    </row>
    <row r="228" spans="1:8" hidden="1">
      <c r="A228" s="93"/>
      <c r="B228" s="95" t="s">
        <v>4191</v>
      </c>
      <c r="C228" s="262" t="str">
        <f>IFERROR(VLOOKUP(B228,'ПО КОРИСНИЦИМА'!$C$3:$J$508,5,FALSE),"")</f>
        <v/>
      </c>
      <c r="D228" s="280">
        <f>SUMIF('ПО КОРИСНИЦИМА'!$G$3:$G$508,"Свега за пројекат 0901-П7:",'ПО КОРИСНИЦИМА'!$H$3:$H$508)</f>
        <v>0</v>
      </c>
      <c r="E228" s="292">
        <f t="shared" si="19"/>
        <v>0</v>
      </c>
      <c r="F228" s="92">
        <f>SUMIF('ПО КОРИСНИЦИМА'!$G$3:$G$508,"Свега за пројекат 0901-П7:",'ПО КОРИСНИЦИМА'!$I$3:$I$508)</f>
        <v>0</v>
      </c>
      <c r="G228" s="297">
        <f t="shared" si="18"/>
        <v>0</v>
      </c>
      <c r="H228" s="293"/>
    </row>
    <row r="229" spans="1:8" hidden="1">
      <c r="A229" s="93"/>
      <c r="B229" s="95" t="s">
        <v>4192</v>
      </c>
      <c r="C229" s="262" t="str">
        <f>IFERROR(VLOOKUP(B229,'ПО КОРИСНИЦИМА'!$C$3:$J$508,5,FALSE),"")</f>
        <v/>
      </c>
      <c r="D229" s="280">
        <f>SUMIF('ПО КОРИСНИЦИМА'!$G$3:$G$508,"Свега за пројекат 0901-П8:",'ПО КОРИСНИЦИМА'!$H$3:$H$508)</f>
        <v>0</v>
      </c>
      <c r="E229" s="292">
        <f t="shared" si="19"/>
        <v>0</v>
      </c>
      <c r="F229" s="92">
        <f>SUMIF('ПО КОРИСНИЦИМА'!$G$3:$G$508,"Свега за пројекат 0901-П8:",'ПО КОРИСНИЦИМА'!$I$3:$I$508)</f>
        <v>0</v>
      </c>
      <c r="G229" s="297">
        <f t="shared" si="18"/>
        <v>0</v>
      </c>
      <c r="H229" s="293"/>
    </row>
    <row r="230" spans="1:8" hidden="1">
      <c r="A230" s="93"/>
      <c r="B230" s="95" t="s">
        <v>4193</v>
      </c>
      <c r="C230" s="262" t="str">
        <f>IFERROR(VLOOKUP(B230,'ПО КОРИСНИЦИМА'!$C$3:$J$508,5,FALSE),"")</f>
        <v/>
      </c>
      <c r="D230" s="280">
        <f>SUMIF('ПО КОРИСНИЦИМА'!$G$3:$G$508,"Свега за пројекат 0901-П9:",'ПО КОРИСНИЦИМА'!$H$3:$H$508)</f>
        <v>0</v>
      </c>
      <c r="E230" s="292">
        <f t="shared" si="19"/>
        <v>0</v>
      </c>
      <c r="F230" s="92">
        <f>SUMIF('ПО КОРИСНИЦИМА'!$G$3:$G$508,"Свега за пројекат 0901-П9:",'ПО КОРИСНИЦИМА'!$I$3:$I$508)</f>
        <v>0</v>
      </c>
      <c r="G230" s="297">
        <f t="shared" si="18"/>
        <v>0</v>
      </c>
      <c r="H230" s="293"/>
    </row>
    <row r="231" spans="1:8" hidden="1">
      <c r="A231" s="93"/>
      <c r="B231" s="95" t="s">
        <v>4194</v>
      </c>
      <c r="C231" s="262" t="str">
        <f>IFERROR(VLOOKUP(B231,'ПО КОРИСНИЦИМА'!$C$3:$J$508,5,FALSE),"")</f>
        <v/>
      </c>
      <c r="D231" s="280">
        <f>SUMIF('ПО КОРИСНИЦИМА'!$G$3:$G$508,"Свега за пројекат 0901-П10:",'ПО КОРИСНИЦИМА'!$H$3:$H$508)</f>
        <v>0</v>
      </c>
      <c r="E231" s="292">
        <f t="shared" si="19"/>
        <v>0</v>
      </c>
      <c r="F231" s="92">
        <f>SUMIF('ПО КОРИСНИЦИМА'!$G$3:$G$508,"Свега за пројекат 0901-П10:",'ПО КОРИСНИЦИМА'!$I$3:$I$508)</f>
        <v>0</v>
      </c>
      <c r="G231" s="297">
        <f t="shared" si="18"/>
        <v>0</v>
      </c>
      <c r="H231" s="293"/>
    </row>
    <row r="232" spans="1:8" hidden="1">
      <c r="A232" s="93"/>
      <c r="B232" s="95" t="s">
        <v>4195</v>
      </c>
      <c r="C232" s="262" t="str">
        <f>IFERROR(VLOOKUP(B232,'ПО КОРИСНИЦИМА'!$C$3:$J$508,5,FALSE),"")</f>
        <v/>
      </c>
      <c r="D232" s="280">
        <f>SUMIF('ПО КОРИСНИЦИМА'!$G$3:$G$508,"Свега за пројекат 0901-П11:",'ПО КОРИСНИЦИМА'!$H$3:$H$508)</f>
        <v>0</v>
      </c>
      <c r="E232" s="292">
        <f t="shared" si="19"/>
        <v>0</v>
      </c>
      <c r="F232" s="92">
        <f>SUMIF('ПО КОРИСНИЦИМА'!$G$3:$G$508,"Свега за пројекат 0901-П11:",'ПО КОРИСНИЦИМА'!$I$3:$I$508)</f>
        <v>0</v>
      </c>
      <c r="G232" s="297">
        <f t="shared" si="18"/>
        <v>0</v>
      </c>
      <c r="H232" s="293"/>
    </row>
    <row r="233" spans="1:8" hidden="1">
      <c r="A233" s="93"/>
      <c r="B233" s="95" t="s">
        <v>4196</v>
      </c>
      <c r="C233" s="262" t="str">
        <f>IFERROR(VLOOKUP(B233,'ПО КОРИСНИЦИМА'!$C$3:$J$508,5,FALSE),"")</f>
        <v/>
      </c>
      <c r="D233" s="280">
        <f>SUMIF('ПО КОРИСНИЦИМА'!$G$3:$G$508,"Свега за пројекат 0901-П12:",'ПО КОРИСНИЦИМА'!$H$3:$H$508)</f>
        <v>0</v>
      </c>
      <c r="E233" s="292">
        <f t="shared" si="19"/>
        <v>0</v>
      </c>
      <c r="F233" s="92">
        <f>SUMIF('ПО КОРИСНИЦИМА'!$G$3:$G$508,"Свега за пројекат 0901-П12:",'ПО КОРИСНИЦИМА'!$I$3:$I$508)</f>
        <v>0</v>
      </c>
      <c r="G233" s="297">
        <f t="shared" si="18"/>
        <v>0</v>
      </c>
      <c r="H233" s="293"/>
    </row>
    <row r="234" spans="1:8" hidden="1">
      <c r="A234" s="93"/>
      <c r="B234" s="95" t="s">
        <v>4197</v>
      </c>
      <c r="C234" s="262" t="str">
        <f>IFERROR(VLOOKUP(B234,'ПО КОРИСНИЦИМА'!$C$3:$J$508,5,FALSE),"")</f>
        <v/>
      </c>
      <c r="D234" s="280">
        <f>SUMIF('ПО КОРИСНИЦИМА'!$G$3:$G$508,"Свега за пројекат 0901-П13:",'ПО КОРИСНИЦИМА'!$H$3:$H$508)</f>
        <v>0</v>
      </c>
      <c r="E234" s="292">
        <f t="shared" si="19"/>
        <v>0</v>
      </c>
      <c r="F234" s="92">
        <f>SUMIF('ПО КОРИСНИЦИМА'!$G$3:$G$508,"Свега за пројекат 0901-П13:",'ПО КОРИСНИЦИМА'!$I$3:$I$508)</f>
        <v>0</v>
      </c>
      <c r="G234" s="297">
        <f t="shared" si="18"/>
        <v>0</v>
      </c>
      <c r="H234" s="293"/>
    </row>
    <row r="235" spans="1:8" hidden="1">
      <c r="A235" s="93"/>
      <c r="B235" s="95" t="s">
        <v>4198</v>
      </c>
      <c r="C235" s="262" t="str">
        <f>IFERROR(VLOOKUP(B235,'ПО КОРИСНИЦИМА'!$C$3:$J$508,5,FALSE),"")</f>
        <v/>
      </c>
      <c r="D235" s="280">
        <f>SUMIF('ПО КОРИСНИЦИМА'!$G$3:$G$508,"Свега за пројекат 0901-П14:",'ПО КОРИСНИЦИМА'!$H$3:$H$508)</f>
        <v>0</v>
      </c>
      <c r="E235" s="292">
        <f t="shared" si="19"/>
        <v>0</v>
      </c>
      <c r="F235" s="92">
        <f>SUMIF('ПО КОРИСНИЦИМА'!$G$3:$G$508,"Свега за пројекат 0901-П14:",'ПО КОРИСНИЦИМА'!$I$3:$I$508)</f>
        <v>0</v>
      </c>
      <c r="G235" s="297">
        <f t="shared" si="18"/>
        <v>0</v>
      </c>
      <c r="H235" s="293"/>
    </row>
    <row r="236" spans="1:8" hidden="1">
      <c r="A236" s="93"/>
      <c r="B236" s="95" t="s">
        <v>4199</v>
      </c>
      <c r="C236" s="262" t="str">
        <f>IFERROR(VLOOKUP(B236,'ПО КОРИСНИЦИМА'!$C$3:$J$508,5,FALSE),"")</f>
        <v/>
      </c>
      <c r="D236" s="280">
        <f>SUMIF('ПО КОРИСНИЦИМА'!$G$3:$G$508,"Свега за пројекат 0901-П15:",'ПО КОРИСНИЦИМА'!$H$3:$H$508)</f>
        <v>0</v>
      </c>
      <c r="E236" s="292">
        <f t="shared" si="19"/>
        <v>0</v>
      </c>
      <c r="F236" s="92">
        <f>SUMIF('ПО КОРИСНИЦИМА'!$G$3:$G$508,"Свега за пројекат 0901-П15:",'ПО КОРИСНИЦИМА'!$I$3:$I$508)</f>
        <v>0</v>
      </c>
      <c r="G236" s="297">
        <f t="shared" si="18"/>
        <v>0</v>
      </c>
      <c r="H236" s="293"/>
    </row>
    <row r="237" spans="1:8" hidden="1">
      <c r="A237" s="93"/>
      <c r="B237" s="95" t="s">
        <v>4200</v>
      </c>
      <c r="C237" s="262" t="str">
        <f>IFERROR(VLOOKUP(B237,'ПО КОРИСНИЦИМА'!$C$3:$J$508,5,FALSE),"")</f>
        <v/>
      </c>
      <c r="D237" s="280">
        <f>SUMIF('ПО КОРИСНИЦИМА'!$G$3:$G$508,"Свега за пројекат 0901-П16:",'ПО КОРИСНИЦИМА'!$H$3:$H$508)</f>
        <v>0</v>
      </c>
      <c r="E237" s="292">
        <f t="shared" si="19"/>
        <v>0</v>
      </c>
      <c r="F237" s="92">
        <f>SUMIF('ПО КОРИСНИЦИМА'!$G$3:$G$508,"Свега за пројекат 0901-П16:",'ПО КОРИСНИЦИМА'!$I$3:$I$508)</f>
        <v>0</v>
      </c>
      <c r="G237" s="297">
        <f t="shared" si="18"/>
        <v>0</v>
      </c>
      <c r="H237" s="293"/>
    </row>
    <row r="238" spans="1:8" hidden="1">
      <c r="A238" s="93"/>
      <c r="B238" s="95" t="s">
        <v>4201</v>
      </c>
      <c r="C238" s="262" t="str">
        <f>IFERROR(VLOOKUP(B238,'ПО КОРИСНИЦИМА'!$C$3:$J$508,5,FALSE),"")</f>
        <v/>
      </c>
      <c r="D238" s="280">
        <f>SUMIF('ПО КОРИСНИЦИМА'!$G$3:$G$508,"Свега за пројекат 0901-П17:",'ПО КОРИСНИЦИМА'!$H$3:$H$508)</f>
        <v>0</v>
      </c>
      <c r="E238" s="292">
        <f t="shared" si="19"/>
        <v>0</v>
      </c>
      <c r="F238" s="92">
        <f>SUMIF('ПО КОРИСНИЦИМА'!$G$3:$G$508,"Свега за пројекат 0901-П17:",'ПО КОРИСНИЦИМА'!$I$3:$I$508)</f>
        <v>0</v>
      </c>
      <c r="G238" s="297">
        <f t="shared" si="18"/>
        <v>0</v>
      </c>
      <c r="H238" s="293"/>
    </row>
    <row r="239" spans="1:8" hidden="1">
      <c r="A239" s="93"/>
      <c r="B239" s="95" t="s">
        <v>4202</v>
      </c>
      <c r="C239" s="262" t="str">
        <f>IFERROR(VLOOKUP(B239,'ПО КОРИСНИЦИМА'!$C$3:$J$508,5,FALSE),"")</f>
        <v/>
      </c>
      <c r="D239" s="280">
        <f>SUMIF('ПО КОРИСНИЦИМА'!$G$3:$G$508,"Свега за пројекат 0901-П18:",'ПО КОРИСНИЦИМА'!$H$3:$H$508)</f>
        <v>0</v>
      </c>
      <c r="E239" s="292">
        <f t="shared" si="19"/>
        <v>0</v>
      </c>
      <c r="F239" s="92">
        <f>SUMIF('ПО КОРИСНИЦИМА'!$G$3:$G$508,"Свега за пројекат 0901-П18:",'ПО КОРИСНИЦИМА'!$I$3:$I$508)</f>
        <v>0</v>
      </c>
      <c r="G239" s="297">
        <f t="shared" si="18"/>
        <v>0</v>
      </c>
      <c r="H239" s="293"/>
    </row>
    <row r="240" spans="1:8" hidden="1">
      <c r="A240" s="93"/>
      <c r="B240" s="95" t="s">
        <v>4203</v>
      </c>
      <c r="C240" s="262" t="str">
        <f>IFERROR(VLOOKUP(B240,'ПО КОРИСНИЦИМА'!$C$3:$J$508,5,FALSE),"")</f>
        <v/>
      </c>
      <c r="D240" s="280">
        <f>SUMIF('ПО КОРИСНИЦИМА'!$G$3:$G$508,"Свега за пројекат 0901-П19:",'ПО КОРИСНИЦИМА'!$H$3:$H$508)</f>
        <v>0</v>
      </c>
      <c r="E240" s="292">
        <f t="shared" si="19"/>
        <v>0</v>
      </c>
      <c r="F240" s="92">
        <f>SUMIF('ПО КОРИСНИЦИМА'!$G$3:$G$508,"Свега за пројекат 0901-П19:",'ПО КОРИСНИЦИМА'!$I$3:$I$508)</f>
        <v>0</v>
      </c>
      <c r="G240" s="297">
        <f t="shared" si="18"/>
        <v>0</v>
      </c>
      <c r="H240" s="293"/>
    </row>
    <row r="241" spans="1:8" hidden="1">
      <c r="A241" s="93"/>
      <c r="B241" s="95" t="s">
        <v>4204</v>
      </c>
      <c r="C241" s="262" t="str">
        <f>IFERROR(VLOOKUP(B241,'ПО КОРИСНИЦИМА'!$C$3:$J$508,5,FALSE),"")</f>
        <v/>
      </c>
      <c r="D241" s="280">
        <f>SUMIF('ПО КОРИСНИЦИМА'!$G$3:$G$508,"Свега за пројекат 0901-П20:",'ПО КОРИСНИЦИМА'!$H$3:$H$508)</f>
        <v>0</v>
      </c>
      <c r="E241" s="292">
        <f t="shared" si="19"/>
        <v>0</v>
      </c>
      <c r="F241" s="92">
        <f>SUMIF('ПО КОРИСНИЦИМА'!$G$3:$G$508,"Свега за пројекат 0901-П20:",'ПО КОРИСНИЦИМА'!$I$3:$I$508)</f>
        <v>0</v>
      </c>
      <c r="G241" s="297">
        <f t="shared" si="18"/>
        <v>0</v>
      </c>
      <c r="H241" s="293"/>
    </row>
    <row r="242" spans="1:8" hidden="1">
      <c r="A242" s="93"/>
      <c r="B242" s="95" t="s">
        <v>4205</v>
      </c>
      <c r="C242" s="262" t="str">
        <f>IFERROR(VLOOKUP(B242,'ПО КОРИСНИЦИМА'!$C$3:$J$508,5,FALSE),"")</f>
        <v/>
      </c>
      <c r="D242" s="280">
        <f>SUMIF('ПО КОРИСНИЦИМА'!$G$3:$G$508,"Свега за пројекат 0901-П21:",'ПО КОРИСНИЦИМА'!$H$3:$H$508)</f>
        <v>0</v>
      </c>
      <c r="E242" s="292">
        <f t="shared" si="19"/>
        <v>0</v>
      </c>
      <c r="F242" s="92">
        <f>SUMIF('ПО КОРИСНИЦИМА'!$G$3:$G$508,"Свега за пројекат 0901-П21:",'ПО КОРИСНИЦИМА'!$I$3:$I$508)</f>
        <v>0</v>
      </c>
      <c r="G242" s="297">
        <f t="shared" si="18"/>
        <v>0</v>
      </c>
      <c r="H242" s="293"/>
    </row>
    <row r="243" spans="1:8" s="94" customFormat="1" ht="14.25">
      <c r="A243" s="229" t="s">
        <v>3589</v>
      </c>
      <c r="B243" s="230"/>
      <c r="C243" s="260" t="s">
        <v>4428</v>
      </c>
      <c r="D243" s="284">
        <f>SUM(D244:D266)</f>
        <v>14000000</v>
      </c>
      <c r="E243" s="285">
        <f t="shared" si="19"/>
        <v>1.7156862745098041E-2</v>
      </c>
      <c r="F243" s="286">
        <f>SUM(F244:F266)</f>
        <v>0</v>
      </c>
      <c r="G243" s="284">
        <f t="shared" si="10"/>
        <v>14000000</v>
      </c>
      <c r="H243" s="286"/>
    </row>
    <row r="244" spans="1:8">
      <c r="A244" s="228"/>
      <c r="B244" s="232" t="s">
        <v>3992</v>
      </c>
      <c r="C244" s="266" t="s">
        <v>3988</v>
      </c>
      <c r="D244" s="288">
        <f>SUMIF('ПО КОРИСНИЦИМА'!$C$3:$C$547,B244,'ПО КОРИСНИЦИМА'!$H$3:$H$547)</f>
        <v>13600000</v>
      </c>
      <c r="E244" s="289">
        <f t="shared" si="19"/>
        <v>1.6666666666666666E-2</v>
      </c>
      <c r="F244" s="413">
        <f>SUMIF('ПО КОРИСНИЦИМА'!$C$3:$C$547,B244,'ПО КОРИСНИЦИМА'!$I$3:$I$547)</f>
        <v>0</v>
      </c>
      <c r="G244" s="288">
        <f t="shared" si="10"/>
        <v>13600000</v>
      </c>
      <c r="H244" s="290"/>
    </row>
    <row r="245" spans="1:8">
      <c r="A245" s="228"/>
      <c r="B245" s="232" t="s">
        <v>4406</v>
      </c>
      <c r="C245" s="266" t="s">
        <v>4429</v>
      </c>
      <c r="D245" s="288">
        <f>SUMIF('ПО КОРИСНИЦИМА'!$C$3:$C$547,B245,'ПО КОРИСНИЦИМА'!$H$3:$H$547)</f>
        <v>400000</v>
      </c>
      <c r="E245" s="289">
        <f t="shared" si="19"/>
        <v>4.9019607843137254E-4</v>
      </c>
      <c r="F245" s="413">
        <f>SUMIF('ПО КОРИСНИЦИМА'!$C$3:$C$547,B245,'ПО КОРИСНИЦИМА'!$I$3:$I$547)</f>
        <v>0</v>
      </c>
      <c r="G245" s="288">
        <f t="shared" si="10"/>
        <v>400000</v>
      </c>
      <c r="H245" s="290"/>
    </row>
    <row r="246" spans="1:8" ht="25.5" hidden="1">
      <c r="A246" s="228"/>
      <c r="B246" s="232" t="s">
        <v>4371</v>
      </c>
      <c r="C246" s="632" t="s">
        <v>4430</v>
      </c>
      <c r="D246" s="288">
        <f>SUMIF('ПО КОРИСНИЦИМА'!$C$3:$C$547,B246,'ПО КОРИСНИЦИМА'!$H$3:$H$547)</f>
        <v>0</v>
      </c>
      <c r="E246" s="289">
        <f t="shared" si="19"/>
        <v>0</v>
      </c>
      <c r="F246" s="413">
        <f>SUMIF('ПО КОРИСНИЦИМА'!$C$3:$C$547,B246,'ПО КОРИСНИЦИМА'!$I$3:$I$547)</f>
        <v>0</v>
      </c>
      <c r="G246" s="288">
        <f t="shared" si="10"/>
        <v>0</v>
      </c>
      <c r="H246" s="290"/>
    </row>
    <row r="247" spans="1:8" hidden="1">
      <c r="A247" s="96"/>
      <c r="B247" s="96" t="s">
        <v>4206</v>
      </c>
      <c r="C247" s="262" t="str">
        <f>IFERROR(VLOOKUP(B247,'ПО КОРИСНИЦИМА'!$C$3:$J$508,5,FALSE),"")</f>
        <v/>
      </c>
      <c r="D247" s="288">
        <f>SUMIF('ПО КОРИСНИЦИМА'!$C$3:$C$547,B247,'ПО КОРИСНИЦИМА'!$H$3:$H$547)</f>
        <v>0</v>
      </c>
      <c r="E247" s="292">
        <f t="shared" si="19"/>
        <v>0</v>
      </c>
      <c r="F247" s="413">
        <f>SUMIF('ПО КОРИСНИЦИМА'!$C$3:$C$547,B247,'ПО КОРИСНИЦИМА'!$I$3:$I$547)</f>
        <v>0</v>
      </c>
      <c r="G247" s="291">
        <f t="shared" si="10"/>
        <v>0</v>
      </c>
      <c r="H247" s="294"/>
    </row>
    <row r="248" spans="1:8" hidden="1">
      <c r="A248" s="96"/>
      <c r="B248" s="96" t="s">
        <v>4528</v>
      </c>
      <c r="C248" s="262" t="str">
        <f>IFERROR(VLOOKUP(B248,'ПО КОРИСНИЦИМА'!$C$3:$J$508,5,FALSE),"")</f>
        <v/>
      </c>
      <c r="D248" s="280">
        <f>SUMIF('ПО КОРИСНИЦИМА'!$G$3:$G$508,"Свега за пројекат 1801-П6:",'ПО КОРИСНИЦИМА'!$H$3:$H$508)</f>
        <v>0</v>
      </c>
      <c r="E248" s="292">
        <f t="shared" si="19"/>
        <v>0</v>
      </c>
      <c r="F248" s="92">
        <f>SUMIF('ПО КОРИСНИЦИМА'!$G$3:$G$508,"Свега за пројекат 1801-П6:",'ПО КОРИСНИЦИМА'!$I$3:$I$508)</f>
        <v>0</v>
      </c>
      <c r="G248" s="291">
        <f t="shared" si="10"/>
        <v>0</v>
      </c>
      <c r="H248" s="293"/>
    </row>
    <row r="249" spans="1:8" hidden="1">
      <c r="A249" s="96"/>
      <c r="B249" s="96" t="s">
        <v>4529</v>
      </c>
      <c r="C249" s="262" t="str">
        <f>IFERROR(VLOOKUP(B249,'ПО КОРИСНИЦИМА'!$C$3:$J$508,5,FALSE),"")</f>
        <v/>
      </c>
      <c r="D249" s="280">
        <f>SUMIF('ПО КОРИСНИЦИМА'!$G$3:$G$508,"Свега за пројекат 1801-П7:",'ПО КОРИСНИЦИМА'!$H$3:$H$508)</f>
        <v>0</v>
      </c>
      <c r="E249" s="292">
        <f t="shared" si="19"/>
        <v>0</v>
      </c>
      <c r="F249" s="92">
        <f>SUMIF('ПО КОРИСНИЦИМА'!$G$3:$G$508,"Свега за пројекат 1801-П7:",'ПО КОРИСНИЦИМА'!$I$3:$I$508)</f>
        <v>0</v>
      </c>
      <c r="G249" s="291">
        <f t="shared" si="10"/>
        <v>0</v>
      </c>
      <c r="H249" s="293"/>
    </row>
    <row r="250" spans="1:8" hidden="1">
      <c r="A250" s="96"/>
      <c r="B250" s="96" t="s">
        <v>4530</v>
      </c>
      <c r="C250" s="262" t="str">
        <f>IFERROR(VLOOKUP(B250,'ПО КОРИСНИЦИМА'!$C$3:$J$508,5,FALSE),"")</f>
        <v/>
      </c>
      <c r="D250" s="280">
        <f>SUMIF('ПО КОРИСНИЦИМА'!$G$3:$G$508,"Свега за пројекат 1801-П8:",'ПО КОРИСНИЦИМА'!$H$3:$H$508)</f>
        <v>0</v>
      </c>
      <c r="E250" s="292">
        <f t="shared" si="19"/>
        <v>0</v>
      </c>
      <c r="F250" s="92">
        <f>SUMIF('ПО КОРИСНИЦИМА'!$G$3:$G$508,"Свега за пројекат 1801-П8:",'ПО КОРИСНИЦИМА'!$I$3:$I$508)</f>
        <v>0</v>
      </c>
      <c r="G250" s="291">
        <f t="shared" si="10"/>
        <v>0</v>
      </c>
      <c r="H250" s="293"/>
    </row>
    <row r="251" spans="1:8" hidden="1">
      <c r="A251" s="96"/>
      <c r="B251" s="96" t="s">
        <v>4531</v>
      </c>
      <c r="C251" s="262" t="str">
        <f>IFERROR(VLOOKUP(B251,'ПО КОРИСНИЦИМА'!$C$3:$J$508,5,FALSE),"")</f>
        <v/>
      </c>
      <c r="D251" s="280">
        <f>SUMIF('ПО КОРИСНИЦИМА'!$G$3:$G$508,"Свега за пројекат 1801-П9:",'ПО КОРИСНИЦИМА'!$H$3:$H$508)</f>
        <v>0</v>
      </c>
      <c r="E251" s="292">
        <f t="shared" si="19"/>
        <v>0</v>
      </c>
      <c r="F251" s="92">
        <f>SUMIF('ПО КОРИСНИЦИМА'!$G$3:$G$508,"Свега за пројекат 1801-П9:",'ПО КОРИСНИЦИМА'!$I$3:$I$508)</f>
        <v>0</v>
      </c>
      <c r="G251" s="291">
        <f t="shared" si="10"/>
        <v>0</v>
      </c>
      <c r="H251" s="293"/>
    </row>
    <row r="252" spans="1:8" hidden="1">
      <c r="A252" s="96"/>
      <c r="B252" s="96" t="s">
        <v>4207</v>
      </c>
      <c r="C252" s="262" t="str">
        <f>IFERROR(VLOOKUP(B252,'ПО КОРИСНИЦИМА'!$C$3:$J$508,5,FALSE),"")</f>
        <v/>
      </c>
      <c r="D252" s="280">
        <f>SUMIF('ПО КОРИСНИЦИМА'!$G$3:$G$508,"Свега за пројекат 1801-П10:",'ПО КОРИСНИЦИМА'!$H$3:$H$508)</f>
        <v>0</v>
      </c>
      <c r="E252" s="292">
        <f t="shared" si="19"/>
        <v>0</v>
      </c>
      <c r="F252" s="92">
        <f>SUMIF('ПО КОРИСНИЦИМА'!$G$3:$G$508,"Свега за пројекат 1801-П10:",'ПО КОРИСНИЦИМА'!$I$3:$I$508)</f>
        <v>0</v>
      </c>
      <c r="G252" s="291">
        <f t="shared" si="10"/>
        <v>0</v>
      </c>
      <c r="H252" s="293"/>
    </row>
    <row r="253" spans="1:8" hidden="1">
      <c r="A253" s="96"/>
      <c r="B253" s="96" t="s">
        <v>4208</v>
      </c>
      <c r="C253" s="262" t="str">
        <f>IFERROR(VLOOKUP(B253,'ПО КОРИСНИЦИМА'!$C$3:$J$508,5,FALSE),"")</f>
        <v/>
      </c>
      <c r="D253" s="280">
        <f>SUMIF('ПО КОРИСНИЦИМА'!$G$3:$G$508,"Свега за пројекат 1801-П11:",'ПО КОРИСНИЦИМА'!$H$3:$H$508)</f>
        <v>0</v>
      </c>
      <c r="E253" s="292">
        <f t="shared" si="19"/>
        <v>0</v>
      </c>
      <c r="F253" s="92">
        <f>SUMIF('ПО КОРИСНИЦИМА'!$G$3:$G$508,"Свега за пројекат 1801-П11:",'ПО КОРИСНИЦИМА'!$I$3:$I$508)</f>
        <v>0</v>
      </c>
      <c r="G253" s="291">
        <f t="shared" si="10"/>
        <v>0</v>
      </c>
      <c r="H253" s="293"/>
    </row>
    <row r="254" spans="1:8" hidden="1">
      <c r="A254" s="96"/>
      <c r="B254" s="96" t="s">
        <v>4209</v>
      </c>
      <c r="C254" s="262" t="str">
        <f>IFERROR(VLOOKUP(B254,'ПО КОРИСНИЦИМА'!$C$3:$J$508,5,FALSE),"")</f>
        <v/>
      </c>
      <c r="D254" s="280">
        <f>SUMIF('ПО КОРИСНИЦИМА'!$G$3:$G$508,"Свега за пројекат 1801-П12:",'ПО КОРИСНИЦИМА'!$H$3:$H$508)</f>
        <v>0</v>
      </c>
      <c r="E254" s="292">
        <f t="shared" si="19"/>
        <v>0</v>
      </c>
      <c r="F254" s="92">
        <f>SUMIF('ПО КОРИСНИЦИМА'!$G$3:$G$508,"Свега за пројекат 1801-П12:",'ПО КОРИСНИЦИМА'!$I$3:$I$508)</f>
        <v>0</v>
      </c>
      <c r="G254" s="291">
        <f t="shared" si="10"/>
        <v>0</v>
      </c>
      <c r="H254" s="293"/>
    </row>
    <row r="255" spans="1:8" hidden="1">
      <c r="A255" s="96"/>
      <c r="B255" s="96" t="s">
        <v>4210</v>
      </c>
      <c r="C255" s="262" t="str">
        <f>IFERROR(VLOOKUP(B255,'ПО КОРИСНИЦИМА'!$C$3:$J$508,5,FALSE),"")</f>
        <v/>
      </c>
      <c r="D255" s="280">
        <f>SUMIF('ПО КОРИСНИЦИМА'!$G$3:$G$508,"Свега за пројекат 1801-П13:",'ПО КОРИСНИЦИМА'!$H$3:$H$508)</f>
        <v>0</v>
      </c>
      <c r="E255" s="292">
        <f t="shared" ref="E255:E286" si="20">IFERROR(D255/$D$341,"-")</f>
        <v>0</v>
      </c>
      <c r="F255" s="92">
        <f>SUMIF('ПО КОРИСНИЦИМА'!$G$3:$G$508,"Свега за пројекат 1801-П13:",'ПО КОРИСНИЦИМА'!$I$3:$I$508)</f>
        <v>0</v>
      </c>
      <c r="G255" s="291">
        <f t="shared" si="10"/>
        <v>0</v>
      </c>
      <c r="H255" s="293"/>
    </row>
    <row r="256" spans="1:8" hidden="1">
      <c r="A256" s="96"/>
      <c r="B256" s="96" t="s">
        <v>4211</v>
      </c>
      <c r="C256" s="262" t="str">
        <f>IFERROR(VLOOKUP(B256,'ПО КОРИСНИЦИМА'!$C$3:$J$508,5,FALSE),"")</f>
        <v/>
      </c>
      <c r="D256" s="280">
        <f>SUMIF('ПО КОРИСНИЦИМА'!$G$3:$G$508,"Свега за пројекат 1801-П14:",'ПО КОРИСНИЦИМА'!$H$3:$H$508)</f>
        <v>0</v>
      </c>
      <c r="E256" s="292">
        <f t="shared" si="20"/>
        <v>0</v>
      </c>
      <c r="F256" s="92">
        <f>SUMIF('ПО КОРИСНИЦИМА'!$G$3:$G$508,"Свега за пројекат 1801-П14:",'ПО КОРИСНИЦИМА'!$I$3:$I$508)</f>
        <v>0</v>
      </c>
      <c r="G256" s="291">
        <f t="shared" si="10"/>
        <v>0</v>
      </c>
      <c r="H256" s="293"/>
    </row>
    <row r="257" spans="1:8" hidden="1">
      <c r="A257" s="96"/>
      <c r="B257" s="96" t="s">
        <v>4212</v>
      </c>
      <c r="C257" s="262" t="str">
        <f>IFERROR(VLOOKUP(B257,'ПО КОРИСНИЦИМА'!$C$3:$J$508,5,FALSE),"")</f>
        <v/>
      </c>
      <c r="D257" s="280">
        <f>SUMIF('ПО КОРИСНИЦИМА'!$G$3:$G$508,"Свега за пројекат 1801-П15:",'ПО КОРИСНИЦИМА'!$H$3:$H$508)</f>
        <v>0</v>
      </c>
      <c r="E257" s="292">
        <f t="shared" si="20"/>
        <v>0</v>
      </c>
      <c r="F257" s="92">
        <f>SUMIF('ПО КОРИСНИЦИМА'!$G$3:$G$508,"Свега за пројекат 1801-П15:",'ПО КОРИСНИЦИМА'!$I$3:$I$508)</f>
        <v>0</v>
      </c>
      <c r="G257" s="291">
        <f t="shared" si="10"/>
        <v>0</v>
      </c>
      <c r="H257" s="293"/>
    </row>
    <row r="258" spans="1:8" hidden="1">
      <c r="A258" s="96"/>
      <c r="B258" s="96" t="s">
        <v>4213</v>
      </c>
      <c r="C258" s="262" t="str">
        <f>IFERROR(VLOOKUP(B258,'ПО КОРИСНИЦИМА'!$C$3:$J$508,5,FALSE),"")</f>
        <v/>
      </c>
      <c r="D258" s="280">
        <f>SUMIF('ПО КОРИСНИЦИМА'!$G$3:$G$508,"Свега за пројекат 1801-П16:",'ПО КОРИСНИЦИМА'!$H$3:$H$508)</f>
        <v>0</v>
      </c>
      <c r="E258" s="292">
        <f t="shared" si="20"/>
        <v>0</v>
      </c>
      <c r="F258" s="92">
        <f>SUMIF('ПО КОРИСНИЦИМА'!$G$3:$G$508,"Свега за пројекат 1801-П16:",'ПО КОРИСНИЦИМА'!$I$3:$I$508)</f>
        <v>0</v>
      </c>
      <c r="G258" s="291">
        <f t="shared" si="10"/>
        <v>0</v>
      </c>
      <c r="H258" s="293"/>
    </row>
    <row r="259" spans="1:8" hidden="1">
      <c r="A259" s="96"/>
      <c r="B259" s="96" t="s">
        <v>4214</v>
      </c>
      <c r="C259" s="262" t="str">
        <f>IFERROR(VLOOKUP(B259,'ПО КОРИСНИЦИМА'!$C$3:$J$508,5,FALSE),"")</f>
        <v/>
      </c>
      <c r="D259" s="280">
        <f>SUMIF('ПО КОРИСНИЦИМА'!$G$3:$G$508,"Свега за пројекат 1801-П17:",'ПО КОРИСНИЦИМА'!$H$3:$H$508)</f>
        <v>0</v>
      </c>
      <c r="E259" s="292">
        <f t="shared" si="20"/>
        <v>0</v>
      </c>
      <c r="F259" s="92">
        <f>SUMIF('ПО КОРИСНИЦИМА'!$G$3:$G$508,"Свега за пројекат 1801-П17:",'ПО КОРИСНИЦИМА'!$I$3:$I$508)</f>
        <v>0</v>
      </c>
      <c r="G259" s="291">
        <f t="shared" si="10"/>
        <v>0</v>
      </c>
      <c r="H259" s="293"/>
    </row>
    <row r="260" spans="1:8" hidden="1">
      <c r="A260" s="96"/>
      <c r="B260" s="96" t="s">
        <v>4215</v>
      </c>
      <c r="C260" s="262" t="str">
        <f>IFERROR(VLOOKUP(B260,'ПО КОРИСНИЦИМА'!$C$3:$J$508,5,FALSE),"")</f>
        <v/>
      </c>
      <c r="D260" s="280">
        <f>SUMIF('ПО КОРИСНИЦИМА'!$G$3:$G$508,"Свега за пројекат 1801-П18:",'ПО КОРИСНИЦИМА'!$H$3:$H$508)</f>
        <v>0</v>
      </c>
      <c r="E260" s="292">
        <f t="shared" si="20"/>
        <v>0</v>
      </c>
      <c r="F260" s="92">
        <f>SUMIF('ПО КОРИСНИЦИМА'!$G$3:$G$508,"Свега за пројекат 1801-П18:",'ПО КОРИСНИЦИМА'!$I$3:$I$508)</f>
        <v>0</v>
      </c>
      <c r="G260" s="291">
        <f t="shared" si="10"/>
        <v>0</v>
      </c>
      <c r="H260" s="293"/>
    </row>
    <row r="261" spans="1:8" hidden="1">
      <c r="A261" s="96"/>
      <c r="B261" s="96" t="s">
        <v>4216</v>
      </c>
      <c r="C261" s="262" t="str">
        <f>IFERROR(VLOOKUP(B261,'ПО КОРИСНИЦИМА'!$C$3:$J$508,5,FALSE),"")</f>
        <v/>
      </c>
      <c r="D261" s="280">
        <f>SUMIF('ПО КОРИСНИЦИМА'!$G$3:$G$508,"Свега за пројекат 1801-П19:",'ПО КОРИСНИЦИМА'!$H$3:$H$508)</f>
        <v>0</v>
      </c>
      <c r="E261" s="292">
        <f t="shared" si="20"/>
        <v>0</v>
      </c>
      <c r="F261" s="92">
        <f>SUMIF('ПО КОРИСНИЦИМА'!$G$3:$G$508,"Свега за пројекат 1801-П19:",'ПО КОРИСНИЦИМА'!$I$3:$I$508)</f>
        <v>0</v>
      </c>
      <c r="G261" s="291">
        <f t="shared" si="10"/>
        <v>0</v>
      </c>
      <c r="H261" s="293"/>
    </row>
    <row r="262" spans="1:8" hidden="1">
      <c r="A262" s="96"/>
      <c r="B262" s="96" t="s">
        <v>4217</v>
      </c>
      <c r="C262" s="262" t="str">
        <f>IFERROR(VLOOKUP(B262,'ПО КОРИСНИЦИМА'!$C$3:$J$508,5,FALSE),"")</f>
        <v/>
      </c>
      <c r="D262" s="280">
        <f>SUMIF('ПО КОРИСНИЦИМА'!$G$3:$G$508,"Свега за пројекат 1801-П20:",'ПО КОРИСНИЦИМА'!$H$3:$H$508)</f>
        <v>0</v>
      </c>
      <c r="E262" s="292">
        <f t="shared" si="20"/>
        <v>0</v>
      </c>
      <c r="F262" s="92">
        <f>SUMIF('ПО КОРИСНИЦИМА'!$G$3:$G$508,"Свега за пројекат 1801-П20:",'ПО КОРИСНИЦИМА'!$I$3:$I$508)</f>
        <v>0</v>
      </c>
      <c r="G262" s="291">
        <f t="shared" si="10"/>
        <v>0</v>
      </c>
      <c r="H262" s="293"/>
    </row>
    <row r="263" spans="1:8" hidden="1">
      <c r="A263" s="96"/>
      <c r="B263" s="96" t="s">
        <v>4218</v>
      </c>
      <c r="C263" s="262" t="str">
        <f>IFERROR(VLOOKUP(B263,'ПО КОРИСНИЦИМА'!$C$3:$J$508,5,FALSE),"")</f>
        <v/>
      </c>
      <c r="D263" s="280">
        <f>SUMIF('ПО КОРИСНИЦИМА'!$G$3:$G$508,"Свега за пројекат 1801-П21:",'ПО КОРИСНИЦИМА'!$H$3:$H$508)</f>
        <v>0</v>
      </c>
      <c r="E263" s="292">
        <f t="shared" si="20"/>
        <v>0</v>
      </c>
      <c r="F263" s="92">
        <f>SUMIF('ПО КОРИСНИЦИМА'!$G$3:$G$508,"Свега за пројекат 1801-П21:",'ПО КОРИСНИЦИМА'!$I$3:$I$508)</f>
        <v>0</v>
      </c>
      <c r="G263" s="291">
        <f t="shared" si="10"/>
        <v>0</v>
      </c>
      <c r="H263" s="293"/>
    </row>
    <row r="264" spans="1:8" hidden="1">
      <c r="A264" s="96"/>
      <c r="B264" s="96" t="s">
        <v>4219</v>
      </c>
      <c r="C264" s="262" t="str">
        <f>IFERROR(VLOOKUP(B264,'ПО КОРИСНИЦИМА'!$C$3:$J$508,5,FALSE),"")</f>
        <v/>
      </c>
      <c r="D264" s="280">
        <f>SUMIF('ПО КОРИСНИЦИМА'!$G$3:$G$508,"Свега за пројекат 1801-П22:",'ПО КОРИСНИЦИМА'!$H$3:$H$508)</f>
        <v>0</v>
      </c>
      <c r="E264" s="292">
        <f t="shared" si="20"/>
        <v>0</v>
      </c>
      <c r="F264" s="92">
        <f>SUMIF('ПО КОРИСНИЦИМА'!$G$3:$G$508,"Свега за пројекат 1801-П22:",'ПО КОРИСНИЦИМА'!$I$3:$I$508)</f>
        <v>0</v>
      </c>
      <c r="G264" s="291">
        <f t="shared" si="10"/>
        <v>0</v>
      </c>
      <c r="H264" s="293"/>
    </row>
    <row r="265" spans="1:8" hidden="1">
      <c r="A265" s="96"/>
      <c r="B265" s="96" t="s">
        <v>4220</v>
      </c>
      <c r="C265" s="262" t="str">
        <f>IFERROR(VLOOKUP(B265,'ПО КОРИСНИЦИМА'!$C$3:$J$508,5,FALSE),"")</f>
        <v/>
      </c>
      <c r="D265" s="280">
        <f>SUMIF('ПО КОРИСНИЦИМА'!$G$3:$G$508,"Свега за пројекат 1801-П23:",'ПО КОРИСНИЦИМА'!$H$3:$H$508)</f>
        <v>0</v>
      </c>
      <c r="E265" s="292">
        <f t="shared" si="20"/>
        <v>0</v>
      </c>
      <c r="F265" s="92">
        <f>SUMIF('ПО КОРИСНИЦИМА'!$G$3:$G$508,"Свега за пројекат 1801-П23:",'ПО КОРИСНИЦИМА'!$I$3:$I$508)</f>
        <v>0</v>
      </c>
      <c r="G265" s="291">
        <f t="shared" si="10"/>
        <v>0</v>
      </c>
      <c r="H265" s="293"/>
    </row>
    <row r="266" spans="1:8" hidden="1">
      <c r="A266" s="96"/>
      <c r="B266" s="96" t="s">
        <v>4221</v>
      </c>
      <c r="C266" s="262" t="str">
        <f>IFERROR(VLOOKUP(B266,'ПО КОРИСНИЦИМА'!$C$3:$J$508,5,FALSE),"")</f>
        <v/>
      </c>
      <c r="D266" s="280">
        <f>SUMIF('ПО КОРИСНИЦИМА'!$G$3:$G$508,"Свега за пројекат 1801-П24:",'ПО КОРИСНИЦИМА'!$H$3:$H$508)</f>
        <v>0</v>
      </c>
      <c r="E266" s="292">
        <f t="shared" si="20"/>
        <v>0</v>
      </c>
      <c r="F266" s="92">
        <f>SUMIF('ПО КОРИСНИЦИМА'!$G$3:$G$508,"Свега за пројекат 1801-П24:",'ПО КОРИСНИЦИМА'!$I$3:$I$508)</f>
        <v>0</v>
      </c>
      <c r="G266" s="291">
        <f t="shared" si="10"/>
        <v>0</v>
      </c>
      <c r="H266" s="293"/>
    </row>
    <row r="267" spans="1:8" s="94" customFormat="1" ht="14.25">
      <c r="A267" s="229" t="s">
        <v>3592</v>
      </c>
      <c r="B267" s="230"/>
      <c r="C267" s="260" t="s">
        <v>4431</v>
      </c>
      <c r="D267" s="284">
        <f>SUM(D268:D293)</f>
        <v>30400000</v>
      </c>
      <c r="E267" s="285">
        <f t="shared" si="20"/>
        <v>3.7254901960784313E-2</v>
      </c>
      <c r="F267" s="286">
        <f>SUM(F268:F293)</f>
        <v>0</v>
      </c>
      <c r="G267" s="284">
        <f t="shared" si="10"/>
        <v>30400000</v>
      </c>
      <c r="H267" s="286"/>
    </row>
    <row r="268" spans="1:8">
      <c r="A268" s="228"/>
      <c r="B268" s="715" t="s">
        <v>3990</v>
      </c>
      <c r="C268" s="263" t="s">
        <v>3989</v>
      </c>
      <c r="D268" s="288">
        <f>SUMIF('ПО КОРИСНИЦИМА'!$C$3:$C$547,B268,'ПО КОРИСНИЦИМА'!$H$3:$H$547)</f>
        <v>23900000</v>
      </c>
      <c r="E268" s="289">
        <f t="shared" si="20"/>
        <v>2.928921568627451E-2</v>
      </c>
      <c r="F268" s="413">
        <f>SUMIF('ПО КОРИСНИЦИМА'!$C$3:$C$547,B268,'ПО КОРИСНИЦИМА'!$I$3:$I$547)</f>
        <v>0</v>
      </c>
      <c r="G268" s="288">
        <f t="shared" si="10"/>
        <v>23900000</v>
      </c>
      <c r="H268" s="290"/>
    </row>
    <row r="269" spans="1:8" ht="25.5" hidden="1">
      <c r="A269" s="93"/>
      <c r="B269" s="716" t="s">
        <v>3991</v>
      </c>
      <c r="C269" s="633" t="s">
        <v>4532</v>
      </c>
      <c r="D269" s="288">
        <f>SUMIF('ПО КОРИСНИЦИМА'!$C$3:$C$547,B269,'ПО КОРИСНИЦИМА'!$H$3:$H$547)</f>
        <v>0</v>
      </c>
      <c r="E269" s="289">
        <f t="shared" si="20"/>
        <v>0</v>
      </c>
      <c r="F269" s="413">
        <f>SUMIF('ПО КОРИСНИЦИМА'!$C$3:$C$547,B269,'ПО КОРИСНИЦИМА'!$I$3:$I$547)</f>
        <v>0</v>
      </c>
      <c r="G269" s="291">
        <f t="shared" si="10"/>
        <v>0</v>
      </c>
      <c r="H269" s="294"/>
    </row>
    <row r="270" spans="1:8" ht="25.5">
      <c r="A270" s="93"/>
      <c r="B270" s="715" t="s">
        <v>4408</v>
      </c>
      <c r="C270" s="633" t="s">
        <v>4374</v>
      </c>
      <c r="D270" s="288">
        <f>SUMIF('ПО КОРИСНИЦИМА'!$C$3:$C$547,B270,'ПО КОРИСНИЦИМА'!$H$3:$H$547)</f>
        <v>3500000</v>
      </c>
      <c r="E270" s="289">
        <f t="shared" si="20"/>
        <v>4.2892156862745102E-3</v>
      </c>
      <c r="F270" s="413">
        <f>SUMIF('ПО КОРИСНИЦИМА'!$C$3:$C$547,B270,'ПО КОРИСНИЦИМА'!$I$3:$I$547)</f>
        <v>0</v>
      </c>
      <c r="G270" s="288">
        <f t="shared" si="10"/>
        <v>3500000</v>
      </c>
      <c r="H270" s="293"/>
    </row>
    <row r="271" spans="1:8" ht="25.5">
      <c r="A271" s="93"/>
      <c r="B271" s="716" t="s">
        <v>4375</v>
      </c>
      <c r="C271" s="633" t="s">
        <v>4434</v>
      </c>
      <c r="D271" s="288">
        <f>SUMIF('ПО КОРИСНИЦИМА'!$C$3:$C$547,B271,'ПО КОРИСНИЦИМА'!$H$3:$H$547)</f>
        <v>3000000</v>
      </c>
      <c r="E271" s="289">
        <f t="shared" si="20"/>
        <v>3.6764705882352941E-3</v>
      </c>
      <c r="F271" s="413">
        <f>SUMIF('ПО КОРИСНИЦИМА'!$C$3:$C$547,B271,'ПО КОРИСНИЦИМА'!$I$3:$I$547)</f>
        <v>0</v>
      </c>
      <c r="G271" s="291">
        <f t="shared" si="10"/>
        <v>3000000</v>
      </c>
      <c r="H271" s="293"/>
    </row>
    <row r="272" spans="1:8" ht="30" hidden="1" customHeight="1">
      <c r="A272" s="93"/>
      <c r="B272" s="715" t="s">
        <v>4432</v>
      </c>
      <c r="C272" s="633" t="s">
        <v>4435</v>
      </c>
      <c r="D272" s="288">
        <f>SUMIF('ПО КОРИСНИЦИМА'!$C$3:$C$547,B272,'ПО КОРИСНИЦИМА'!$H$3:$H$547)</f>
        <v>0</v>
      </c>
      <c r="E272" s="289">
        <f t="shared" si="20"/>
        <v>0</v>
      </c>
      <c r="F272" s="413">
        <f>SUMIF('ПО КОРИСНИЦИМА'!$C$3:$C$547,B272,'ПО КОРИСНИЦИМА'!$I$3:$I$547)</f>
        <v>0</v>
      </c>
      <c r="G272" s="288">
        <f t="shared" si="10"/>
        <v>0</v>
      </c>
      <c r="H272" s="293"/>
    </row>
    <row r="273" spans="1:8" ht="21.75" hidden="1" customHeight="1">
      <c r="A273" s="93"/>
      <c r="B273" s="716" t="s">
        <v>4433</v>
      </c>
      <c r="C273" s="633" t="s">
        <v>4436</v>
      </c>
      <c r="D273" s="288">
        <f>SUMIF('ПО КОРИСНИЦИМА'!$C$3:$C$547,B273,'ПО КОРИСНИЦИМА'!$H$3:$H$547)</f>
        <v>0</v>
      </c>
      <c r="E273" s="289">
        <f t="shared" si="20"/>
        <v>0</v>
      </c>
      <c r="F273" s="413">
        <f>SUMIF('ПО КОРИСНИЦИМА'!$C$3:$C$547,B273,'ПО КОРИСНИЦИМА'!$I$3:$I$547)</f>
        <v>0</v>
      </c>
      <c r="G273" s="291">
        <f t="shared" si="10"/>
        <v>0</v>
      </c>
      <c r="H273" s="293"/>
    </row>
    <row r="274" spans="1:8" hidden="1">
      <c r="A274" s="96"/>
      <c r="B274" s="96" t="s">
        <v>4222</v>
      </c>
      <c r="C274" s="262" t="str">
        <f>IFERROR(VLOOKUP(B274,'ПО КОРИСНИЦИМА'!$C$3:$J$508,5,FALSE),"")</f>
        <v/>
      </c>
      <c r="D274" s="288">
        <f>SUMIF('ПО КОРИСНИЦИМА'!$C$3:$C$547,B274,'ПО КОРИСНИЦИМА'!$H$3:$H$547)</f>
        <v>0</v>
      </c>
      <c r="E274" s="292">
        <f t="shared" si="20"/>
        <v>0</v>
      </c>
      <c r="F274" s="413">
        <f>SUMIF('ПО КОРИСНИЦИМА'!$C$3:$C$547,B274,'ПО КОРИСНИЦИМА'!$I$3:$I$547)</f>
        <v>0</v>
      </c>
      <c r="G274" s="291">
        <f t="shared" si="10"/>
        <v>0</v>
      </c>
      <c r="H274" s="294"/>
    </row>
    <row r="275" spans="1:8" hidden="1">
      <c r="A275" s="96"/>
      <c r="B275" s="96" t="s">
        <v>4533</v>
      </c>
      <c r="C275" s="262" t="str">
        <f>IFERROR(VLOOKUP(B275,'ПО КОРИСНИЦИМА'!$C$3:$J$508,5,FALSE),"")</f>
        <v/>
      </c>
      <c r="D275" s="280">
        <f>SUMIF('ПО КОРИСНИЦИМА'!$G$3:$G$508,"Свега за пројекат 1201-П6:",'ПО КОРИСНИЦИМА'!$H$3:$H$508)</f>
        <v>0</v>
      </c>
      <c r="E275" s="289">
        <f t="shared" si="20"/>
        <v>0</v>
      </c>
      <c r="F275" s="92">
        <f>SUMIF('ПО КОРИСНИЦИМА'!$G$3:$G$508,"Свега за пројекат 1201-П6:",'ПО КОРИСНИЦИМА'!$I$3:$I$508)</f>
        <v>0</v>
      </c>
      <c r="G275" s="291">
        <f t="shared" si="10"/>
        <v>0</v>
      </c>
      <c r="H275" s="293"/>
    </row>
    <row r="276" spans="1:8" hidden="1">
      <c r="A276" s="96"/>
      <c r="B276" s="96" t="s">
        <v>4534</v>
      </c>
      <c r="C276" s="262" t="str">
        <f>IFERROR(VLOOKUP(B276,'ПО КОРИСНИЦИМА'!$C$3:$J$508,5,FALSE),"")</f>
        <v/>
      </c>
      <c r="D276" s="280">
        <f>SUMIF('ПО КОРИСНИЦИМА'!$G$3:$G$508,"Свега за пројекат 1201-П7:",'ПО КОРИСНИЦИМА'!$H$3:$H$508)</f>
        <v>0</v>
      </c>
      <c r="E276" s="289">
        <f t="shared" si="20"/>
        <v>0</v>
      </c>
      <c r="F276" s="92">
        <f>SUMIF('ПО КОРИСНИЦИМА'!$G$3:$G$508,"Свега за пројекат 1201-П7:",'ПО КОРИСНИЦИМА'!$I$3:$I$508)</f>
        <v>0</v>
      </c>
      <c r="G276" s="291">
        <f t="shared" si="10"/>
        <v>0</v>
      </c>
      <c r="H276" s="293"/>
    </row>
    <row r="277" spans="1:8" hidden="1">
      <c r="A277" s="96"/>
      <c r="B277" s="96" t="s">
        <v>4535</v>
      </c>
      <c r="C277" s="262" t="str">
        <f>IFERROR(VLOOKUP(B277,'ПО КОРИСНИЦИМА'!$C$3:$J$508,5,FALSE),"")</f>
        <v/>
      </c>
      <c r="D277" s="280">
        <f>SUMIF('ПО КОРИСНИЦИМА'!$G$3:$G$508,"Свега за пројекат 1201-П8:",'ПО КОРИСНИЦИМА'!$H$3:$H$508)</f>
        <v>0</v>
      </c>
      <c r="E277" s="289">
        <f t="shared" si="20"/>
        <v>0</v>
      </c>
      <c r="F277" s="92">
        <f>SUMIF('ПО КОРИСНИЦИМА'!$G$3:$G$508,"Свега за пројекат 1201-П8:",'ПО КОРИСНИЦИМА'!$I$3:$I$508)</f>
        <v>0</v>
      </c>
      <c r="G277" s="291">
        <f t="shared" si="10"/>
        <v>0</v>
      </c>
      <c r="H277" s="293"/>
    </row>
    <row r="278" spans="1:8" hidden="1">
      <c r="A278" s="96"/>
      <c r="B278" s="96" t="s">
        <v>4536</v>
      </c>
      <c r="C278" s="262" t="str">
        <f>IFERROR(VLOOKUP(B278,'ПО КОРИСНИЦИМА'!$C$3:$J$508,5,FALSE),"")</f>
        <v/>
      </c>
      <c r="D278" s="280">
        <f>SUMIF('ПО КОРИСНИЦИМА'!$G$3:$G$508,"Свега за пројекат 1201-П9:",'ПО КОРИСНИЦИМА'!$H$3:$H$508)</f>
        <v>0</v>
      </c>
      <c r="E278" s="289">
        <f t="shared" si="20"/>
        <v>0</v>
      </c>
      <c r="F278" s="92">
        <f>SUMIF('ПО КОРИСНИЦИМА'!$G$3:$G$508,"Свега за пројекат 1201-П9:",'ПО КОРИСНИЦИМА'!$I$3:$I$508)</f>
        <v>0</v>
      </c>
      <c r="G278" s="291">
        <f t="shared" si="10"/>
        <v>0</v>
      </c>
      <c r="H278" s="293"/>
    </row>
    <row r="279" spans="1:8" hidden="1">
      <c r="A279" s="96"/>
      <c r="B279" s="96" t="s">
        <v>4223</v>
      </c>
      <c r="C279" s="262" t="str">
        <f>IFERROR(VLOOKUP(B279,'ПО КОРИСНИЦИМА'!$C$3:$J$508,5,FALSE),"")</f>
        <v/>
      </c>
      <c r="D279" s="280">
        <f>SUMIF('ПО КОРИСНИЦИМА'!$G$3:$G$508,"Свега за пројекат 1201-П10:",'ПО КОРИСНИЦИМА'!$H$3:$H$508)</f>
        <v>0</v>
      </c>
      <c r="E279" s="289">
        <f t="shared" si="20"/>
        <v>0</v>
      </c>
      <c r="F279" s="92">
        <f>SUMIF('ПО КОРИСНИЦИМА'!$G$3:$G$508,"Свега за пројекат 1201-П10:",'ПО КОРИСНИЦИМА'!$I$3:$I$508)</f>
        <v>0</v>
      </c>
      <c r="G279" s="291">
        <f t="shared" si="10"/>
        <v>0</v>
      </c>
      <c r="H279" s="293"/>
    </row>
    <row r="280" spans="1:8" hidden="1">
      <c r="A280" s="96"/>
      <c r="B280" s="96" t="s">
        <v>4224</v>
      </c>
      <c r="C280" s="262" t="str">
        <f>IFERROR(VLOOKUP(B280,'ПО КОРИСНИЦИМА'!$C$3:$J$508,5,FALSE),"")</f>
        <v/>
      </c>
      <c r="D280" s="280">
        <f>SUMIF('ПО КОРИСНИЦИМА'!$G$3:$G$508,"Свега за пројекат 1201-П11:",'ПО КОРИСНИЦИМА'!$H$3:$H$508)</f>
        <v>0</v>
      </c>
      <c r="E280" s="289">
        <f t="shared" si="20"/>
        <v>0</v>
      </c>
      <c r="F280" s="92">
        <f>SUMIF('ПО КОРИСНИЦИМА'!$G$3:$G$508,"Свега за пројекат 1201-П11:",'ПО КОРИСНИЦИМА'!$I$3:$I$508)</f>
        <v>0</v>
      </c>
      <c r="G280" s="291">
        <f t="shared" si="10"/>
        <v>0</v>
      </c>
      <c r="H280" s="293"/>
    </row>
    <row r="281" spans="1:8" hidden="1">
      <c r="A281" s="96"/>
      <c r="B281" s="96" t="s">
        <v>4225</v>
      </c>
      <c r="C281" s="262" t="str">
        <f>IFERROR(VLOOKUP(B281,'ПО КОРИСНИЦИМА'!$C$3:$J$508,5,FALSE),"")</f>
        <v/>
      </c>
      <c r="D281" s="280">
        <f>SUMIF('ПО КОРИСНИЦИМА'!$G$3:$G$508,"Свега за пројекат 1201-П12:",'ПО КОРИСНИЦИМА'!$H$3:$H$508)</f>
        <v>0</v>
      </c>
      <c r="E281" s="289">
        <f t="shared" si="20"/>
        <v>0</v>
      </c>
      <c r="F281" s="92">
        <f>SUMIF('ПО КОРИСНИЦИМА'!$G$3:$G$508,"Свега за пројекат 1201-П12:",'ПО КОРИСНИЦИМА'!$I$3:$I$508)</f>
        <v>0</v>
      </c>
      <c r="G281" s="291">
        <f t="shared" si="10"/>
        <v>0</v>
      </c>
      <c r="H281" s="293"/>
    </row>
    <row r="282" spans="1:8" hidden="1">
      <c r="A282" s="96"/>
      <c r="B282" s="96" t="s">
        <v>4226</v>
      </c>
      <c r="C282" s="262" t="str">
        <f>IFERROR(VLOOKUP(B282,'ПО КОРИСНИЦИМА'!$C$3:$J$508,5,FALSE),"")</f>
        <v/>
      </c>
      <c r="D282" s="280">
        <f>SUMIF('ПО КОРИСНИЦИМА'!$G$3:$G$508,"Свега за пројекат 1201-П13:",'ПО КОРИСНИЦИМА'!$H$3:$H$508)</f>
        <v>0</v>
      </c>
      <c r="E282" s="289">
        <f t="shared" si="20"/>
        <v>0</v>
      </c>
      <c r="F282" s="92">
        <f>SUMIF('ПО КОРИСНИЦИМА'!$G$3:$G$508,"Свега за пројекат 1201-П13:",'ПО КОРИСНИЦИМА'!$I$3:$I$508)</f>
        <v>0</v>
      </c>
      <c r="G282" s="291">
        <f t="shared" si="10"/>
        <v>0</v>
      </c>
      <c r="H282" s="293"/>
    </row>
    <row r="283" spans="1:8" hidden="1">
      <c r="A283" s="96"/>
      <c r="B283" s="96" t="s">
        <v>4227</v>
      </c>
      <c r="C283" s="262" t="str">
        <f>IFERROR(VLOOKUP(B283,'ПО КОРИСНИЦИМА'!$C$3:$J$508,5,FALSE),"")</f>
        <v/>
      </c>
      <c r="D283" s="280">
        <f>SUMIF('ПО КОРИСНИЦИМА'!$G$3:$G$508,"Свега за пројекат 1201-П14:",'ПО КОРИСНИЦИМА'!$H$3:$H$508)</f>
        <v>0</v>
      </c>
      <c r="E283" s="289">
        <f t="shared" si="20"/>
        <v>0</v>
      </c>
      <c r="F283" s="92">
        <f>SUMIF('ПО КОРИСНИЦИМА'!$G$3:$G$508,"Свега за пројекат 1201-П14:",'ПО КОРИСНИЦИМА'!$I$3:$I$508)</f>
        <v>0</v>
      </c>
      <c r="G283" s="291">
        <f t="shared" si="10"/>
        <v>0</v>
      </c>
      <c r="H283" s="293"/>
    </row>
    <row r="284" spans="1:8" hidden="1">
      <c r="A284" s="96"/>
      <c r="B284" s="96" t="s">
        <v>4228</v>
      </c>
      <c r="C284" s="262" t="str">
        <f>IFERROR(VLOOKUP(B284,'ПО КОРИСНИЦИМА'!$C$3:$J$508,5,FALSE),"")</f>
        <v/>
      </c>
      <c r="D284" s="280">
        <f>SUMIF('ПО КОРИСНИЦИМА'!$G$3:$G$508,"Свега за пројекат 1201-П15:",'ПО КОРИСНИЦИМА'!$H$3:$H$508)</f>
        <v>0</v>
      </c>
      <c r="E284" s="289">
        <f t="shared" si="20"/>
        <v>0</v>
      </c>
      <c r="F284" s="92">
        <f>SUMIF('ПО КОРИСНИЦИМА'!$G$3:$G$508,"Свега за пројекат 1201-П15:",'ПО КОРИСНИЦИМА'!$I$3:$I$508)</f>
        <v>0</v>
      </c>
      <c r="G284" s="291">
        <f t="shared" si="10"/>
        <v>0</v>
      </c>
      <c r="H284" s="293"/>
    </row>
    <row r="285" spans="1:8" hidden="1">
      <c r="A285" s="96"/>
      <c r="B285" s="96" t="s">
        <v>4229</v>
      </c>
      <c r="C285" s="262" t="str">
        <f>IFERROR(VLOOKUP(B285,'ПО КОРИСНИЦИМА'!$C$3:$J$508,5,FALSE),"")</f>
        <v/>
      </c>
      <c r="D285" s="280">
        <f>SUMIF('ПО КОРИСНИЦИМА'!$G$3:$G$508,"Свега за пројекат 1201-П16:",'ПО КОРИСНИЦИМА'!$H$3:$H$508)</f>
        <v>0</v>
      </c>
      <c r="E285" s="289">
        <f t="shared" si="20"/>
        <v>0</v>
      </c>
      <c r="F285" s="92">
        <f>SUMIF('ПО КОРИСНИЦИМА'!$G$3:$G$508,"Свега за пројекат 1201-П16:",'ПО КОРИСНИЦИМА'!$I$3:$I$508)</f>
        <v>0</v>
      </c>
      <c r="G285" s="291">
        <f t="shared" si="10"/>
        <v>0</v>
      </c>
      <c r="H285" s="293"/>
    </row>
    <row r="286" spans="1:8" hidden="1">
      <c r="A286" s="96"/>
      <c r="B286" s="96" t="s">
        <v>4230</v>
      </c>
      <c r="C286" s="262" t="str">
        <f>IFERROR(VLOOKUP(B286,'ПО КОРИСНИЦИМА'!$C$3:$J$508,5,FALSE),"")</f>
        <v/>
      </c>
      <c r="D286" s="280">
        <f>SUMIF('ПО КОРИСНИЦИМА'!$G$3:$G$508,"Свега за пројекат 1201-П17:",'ПО КОРИСНИЦИМА'!$H$3:$H$508)</f>
        <v>0</v>
      </c>
      <c r="E286" s="289">
        <f t="shared" si="20"/>
        <v>0</v>
      </c>
      <c r="F286" s="92">
        <f>SUMIF('ПО КОРИСНИЦИМА'!$G$3:$G$508,"Свега за пројекат 1201-П17:",'ПО КОРИСНИЦИМА'!$I$3:$I$508)</f>
        <v>0</v>
      </c>
      <c r="G286" s="291">
        <f t="shared" si="10"/>
        <v>0</v>
      </c>
      <c r="H286" s="293"/>
    </row>
    <row r="287" spans="1:8" hidden="1">
      <c r="A287" s="96"/>
      <c r="B287" s="96" t="s">
        <v>4231</v>
      </c>
      <c r="C287" s="262" t="str">
        <f>IFERROR(VLOOKUP(B287,'ПО КОРИСНИЦИМА'!$C$3:$J$508,5,FALSE),"")</f>
        <v/>
      </c>
      <c r="D287" s="280">
        <f>SUMIF('ПО КОРИСНИЦИМА'!$G$3:$G$508,"Свега за пројекат 1201-П18:",'ПО КОРИСНИЦИМА'!$H$3:$H$508)</f>
        <v>0</v>
      </c>
      <c r="E287" s="289">
        <f t="shared" ref="E287:E299" si="21">IFERROR(D287/$D$341,"-")</f>
        <v>0</v>
      </c>
      <c r="F287" s="92">
        <f>SUMIF('ПО КОРИСНИЦИМА'!$G$3:$G$508,"Свега за пројекат 1201-П18:",'ПО КОРИСНИЦИМА'!$I$3:$I$508)</f>
        <v>0</v>
      </c>
      <c r="G287" s="291">
        <f t="shared" si="10"/>
        <v>0</v>
      </c>
      <c r="H287" s="293"/>
    </row>
    <row r="288" spans="1:8" hidden="1">
      <c r="A288" s="96"/>
      <c r="B288" s="96" t="s">
        <v>4232</v>
      </c>
      <c r="C288" s="262" t="str">
        <f>IFERROR(VLOOKUP(B288,'ПО КОРИСНИЦИМА'!$C$3:$J$508,5,FALSE),"")</f>
        <v/>
      </c>
      <c r="D288" s="280">
        <f>SUMIF('ПО КОРИСНИЦИМА'!$G$3:$G$508,"Свега за пројекат 1201-П19:",'ПО КОРИСНИЦИМА'!$H$3:$H$508)</f>
        <v>0</v>
      </c>
      <c r="E288" s="289">
        <f t="shared" si="21"/>
        <v>0</v>
      </c>
      <c r="F288" s="92">
        <f>SUMIF('ПО КОРИСНИЦИМА'!$G$3:$G$508,"Свега за пројекат 1201-П19:",'ПО КОРИСНИЦИМА'!$I$3:$I$508)</f>
        <v>0</v>
      </c>
      <c r="G288" s="291">
        <f t="shared" si="10"/>
        <v>0</v>
      </c>
      <c r="H288" s="293"/>
    </row>
    <row r="289" spans="1:8" hidden="1">
      <c r="A289" s="96"/>
      <c r="B289" s="96" t="s">
        <v>4233</v>
      </c>
      <c r="C289" s="262" t="str">
        <f>IFERROR(VLOOKUP(B289,'ПО КОРИСНИЦИМА'!$C$3:$J$508,5,FALSE),"")</f>
        <v/>
      </c>
      <c r="D289" s="280">
        <f>SUMIF('ПО КОРИСНИЦИМА'!$G$3:$G$508,"Свега за пројекат 1201-П20:",'ПО КОРИСНИЦИМА'!$H$3:$H$508)</f>
        <v>0</v>
      </c>
      <c r="E289" s="289">
        <f t="shared" si="21"/>
        <v>0</v>
      </c>
      <c r="F289" s="92">
        <f>SUMIF('ПО КОРИСНИЦИМА'!$G$3:$G$508,"Свега за пројекат 1201-П20:",'ПО КОРИСНИЦИМА'!$I$3:$I$508)</f>
        <v>0</v>
      </c>
      <c r="G289" s="291">
        <f t="shared" si="10"/>
        <v>0</v>
      </c>
      <c r="H289" s="293"/>
    </row>
    <row r="290" spans="1:8" hidden="1">
      <c r="A290" s="96"/>
      <c r="B290" s="96" t="s">
        <v>4234</v>
      </c>
      <c r="C290" s="262" t="str">
        <f>IFERROR(VLOOKUP(B290,'ПО КОРИСНИЦИМА'!$C$3:$J$508,5,FALSE),"")</f>
        <v/>
      </c>
      <c r="D290" s="280">
        <f>SUMIF('ПО КОРИСНИЦИМА'!$G$3:$G$508,"Свега за пројекат 1201-П21:",'ПО КОРИСНИЦИМА'!$H$3:$H$508)</f>
        <v>0</v>
      </c>
      <c r="E290" s="289">
        <f t="shared" si="21"/>
        <v>0</v>
      </c>
      <c r="F290" s="92">
        <f>SUMIF('ПО КОРИСНИЦИМА'!$G$3:$G$508,"Свега за пројекат 1201-П21:",'ПО КОРИСНИЦИМА'!$I$3:$I$508)</f>
        <v>0</v>
      </c>
      <c r="G290" s="291">
        <f t="shared" si="10"/>
        <v>0</v>
      </c>
      <c r="H290" s="293"/>
    </row>
    <row r="291" spans="1:8" hidden="1">
      <c r="A291" s="96"/>
      <c r="B291" s="96" t="s">
        <v>4235</v>
      </c>
      <c r="C291" s="262" t="str">
        <f>IFERROR(VLOOKUP(B291,'ПО КОРИСНИЦИМА'!$C$3:$J$508,5,FALSE),"")</f>
        <v/>
      </c>
      <c r="D291" s="280">
        <f>SUMIF('ПО КОРИСНИЦИМА'!$G$3:$G$508,"Свега за пројекат 1201-П22:",'ПО КОРИСНИЦИМА'!$H$3:$H$508)</f>
        <v>0</v>
      </c>
      <c r="E291" s="289">
        <f t="shared" si="21"/>
        <v>0</v>
      </c>
      <c r="F291" s="92">
        <f>SUMIF('ПО КОРИСНИЦИМА'!$G$3:$G$508,"Свега за пројекат 1201-П22:",'ПО КОРИСНИЦИМА'!$I$3:$I$508)</f>
        <v>0</v>
      </c>
      <c r="G291" s="291">
        <f t="shared" si="10"/>
        <v>0</v>
      </c>
      <c r="H291" s="293"/>
    </row>
    <row r="292" spans="1:8" hidden="1">
      <c r="A292" s="96"/>
      <c r="B292" s="96" t="s">
        <v>4236</v>
      </c>
      <c r="C292" s="262" t="str">
        <f>IFERROR(VLOOKUP(B292,'ПО КОРИСНИЦИМА'!$C$3:$J$508,5,FALSE),"")</f>
        <v/>
      </c>
      <c r="D292" s="280">
        <f>SUMIF('ПО КОРИСНИЦИМА'!$G$3:$G$508,"Свега за пројекат 1201-П23:",'ПО КОРИСНИЦИМА'!$H$3:$H$508)</f>
        <v>0</v>
      </c>
      <c r="E292" s="289">
        <f t="shared" si="21"/>
        <v>0</v>
      </c>
      <c r="F292" s="92">
        <f>SUMIF('ПО КОРИСНИЦИМА'!$G$3:$G$508,"Свега за пројекат 1201-П23:",'ПО КОРИСНИЦИМА'!$I$3:$I$508)</f>
        <v>0</v>
      </c>
      <c r="G292" s="291">
        <f t="shared" si="10"/>
        <v>0</v>
      </c>
      <c r="H292" s="293"/>
    </row>
    <row r="293" spans="1:8" hidden="1">
      <c r="A293" s="96"/>
      <c r="B293" s="96" t="s">
        <v>4237</v>
      </c>
      <c r="C293" s="262" t="str">
        <f>IFERROR(VLOOKUP(B293,'ПО КОРИСНИЦИМА'!$C$3:$J$508,5,FALSE),"")</f>
        <v/>
      </c>
      <c r="D293" s="280">
        <f>SUMIF('ПО КОРИСНИЦИМА'!$G$3:$G$508,"Свега за пројекат 1201-П24:",'ПО КОРИСНИЦИМА'!$H$3:$H$508)</f>
        <v>0</v>
      </c>
      <c r="E293" s="289">
        <f t="shared" si="21"/>
        <v>0</v>
      </c>
      <c r="F293" s="92">
        <f>SUMIF('ПО КОРИСНИЦИМА'!$G$3:$G$508,"Свега за пројекат 1201-П24:",'ПО КОРИСНИЦИМА'!$I$3:$I$508)</f>
        <v>0</v>
      </c>
      <c r="G293" s="291">
        <f t="shared" si="10"/>
        <v>0</v>
      </c>
      <c r="H293" s="293"/>
    </row>
    <row r="294" spans="1:8" s="94" customFormat="1" ht="14.25">
      <c r="A294" s="229" t="s">
        <v>3595</v>
      </c>
      <c r="B294" s="230"/>
      <c r="C294" s="260" t="s">
        <v>3672</v>
      </c>
      <c r="D294" s="284">
        <f>SUM(D295:D318)</f>
        <v>57460000</v>
      </c>
      <c r="E294" s="285">
        <f t="shared" si="21"/>
        <v>7.0416666666666669E-2</v>
      </c>
      <c r="F294" s="286">
        <f>SUM(F295:F318)</f>
        <v>30600000</v>
      </c>
      <c r="G294" s="284">
        <f t="shared" si="10"/>
        <v>88060000</v>
      </c>
      <c r="H294" s="286"/>
    </row>
    <row r="295" spans="1:8" ht="25.5">
      <c r="A295" s="228"/>
      <c r="B295" s="234" t="s">
        <v>3993</v>
      </c>
      <c r="C295" s="634" t="s">
        <v>3994</v>
      </c>
      <c r="D295" s="288">
        <f>SUMIF('ПО КОРИСНИЦИМА'!$C$3:$C$547,B295,'ПО КОРИСНИЦИМА'!$H$3:$H$547)</f>
        <v>22000000</v>
      </c>
      <c r="E295" s="289">
        <f t="shared" si="21"/>
        <v>2.6960784313725492E-2</v>
      </c>
      <c r="F295" s="413">
        <f>SUMIF('ПО КОРИСНИЦИМА'!$C$3:$C$547,B295,'ПО КОРИСНИЦИМА'!$I$3:$I$547)</f>
        <v>0</v>
      </c>
      <c r="G295" s="297">
        <f t="shared" si="10"/>
        <v>22000000</v>
      </c>
      <c r="H295" s="290"/>
    </row>
    <row r="296" spans="1:8" hidden="1">
      <c r="A296" s="93"/>
      <c r="B296" s="96" t="s">
        <v>3995</v>
      </c>
      <c r="C296" s="633" t="s">
        <v>4437</v>
      </c>
      <c r="D296" s="288">
        <f>SUMIF('ПО КОРИСНИЦИМА'!$C$3:$C$547,B296,'ПО КОРИСНИЦИМА'!$H$3:$H$547)</f>
        <v>0</v>
      </c>
      <c r="E296" s="289">
        <f t="shared" si="21"/>
        <v>0</v>
      </c>
      <c r="F296" s="413">
        <f>SUMIF('ПО КОРИСНИЦИМА'!$C$3:$C$547,B296,'ПО КОРИСНИЦИМА'!$I$3:$I$547)</f>
        <v>0</v>
      </c>
      <c r="G296" s="298">
        <f t="shared" si="10"/>
        <v>0</v>
      </c>
      <c r="H296" s="294"/>
    </row>
    <row r="297" spans="1:8">
      <c r="A297" s="93"/>
      <c r="B297" s="96" t="s">
        <v>4380</v>
      </c>
      <c r="C297" s="269" t="s">
        <v>4381</v>
      </c>
      <c r="D297" s="288">
        <f>SUMIF('ПО КОРИСНИЦИМА'!$C$3:$C$547,B297,'ПО КОРИСНИЦИМА'!$H$3:$H$547)</f>
        <v>31960000</v>
      </c>
      <c r="E297" s="289">
        <f t="shared" si="21"/>
        <v>3.9166666666666669E-2</v>
      </c>
      <c r="F297" s="413">
        <f>SUMIF('ПО КОРИСНИЦИМА'!$C$3:$C$547,B297,'ПО КОРИСНИЦИМА'!$I$3:$I$547)</f>
        <v>25500000</v>
      </c>
      <c r="G297" s="298">
        <f t="shared" si="10"/>
        <v>57460000</v>
      </c>
      <c r="H297" s="293"/>
    </row>
    <row r="298" spans="1:8">
      <c r="A298" s="93"/>
      <c r="B298" s="96" t="s">
        <v>4348</v>
      </c>
      <c r="C298" s="269" t="s">
        <v>4377</v>
      </c>
      <c r="D298" s="288">
        <f>SUMIF('ПО КОРИСНИЦИМА'!$C$3:$C$547,B298,'ПО КОРИСНИЦИМА'!$H$3:$H$547)</f>
        <v>1700000</v>
      </c>
      <c r="E298" s="289">
        <f t="shared" si="21"/>
        <v>2.0833333333333333E-3</v>
      </c>
      <c r="F298" s="413">
        <f>SUMIF('ПО КОРИСНИЦИМА'!$C$3:$C$547,B298,'ПО КОРИСНИЦИМА'!$I$3:$I$547)</f>
        <v>0</v>
      </c>
      <c r="G298" s="298">
        <f t="shared" si="10"/>
        <v>1700000</v>
      </c>
      <c r="H298" s="293"/>
    </row>
    <row r="299" spans="1:8">
      <c r="A299" s="96"/>
      <c r="B299" s="96" t="s">
        <v>4238</v>
      </c>
      <c r="C299" s="262" t="str">
        <f>IFERROR(VLOOKUP(B299,'ПО КОРИСНИЦИМА'!$C$3:$J$508,5,FALSE),"")</f>
        <v>Пројекат "Изградња отворених базена у Владичином Хану"</v>
      </c>
      <c r="D299" s="288">
        <f>SUMIF('ПО КОРИСНИЦИМА'!$C$3:$C$547,B299,'ПО КОРИСНИЦИМА'!$H$3:$H$547)</f>
        <v>0</v>
      </c>
      <c r="E299" s="292">
        <f t="shared" si="21"/>
        <v>0</v>
      </c>
      <c r="F299" s="413">
        <f>SUMIF('ПО КОРИСНИЦИМА'!$C$3:$C$547,B299,'ПО КОРИСНИЦИМА'!$I$3:$I$547)</f>
        <v>0</v>
      </c>
      <c r="G299" s="298">
        <f t="shared" si="10"/>
        <v>0</v>
      </c>
      <c r="H299" s="294"/>
    </row>
    <row r="300" spans="1:8" ht="26.25">
      <c r="A300" s="96"/>
      <c r="B300" s="96" t="s">
        <v>4537</v>
      </c>
      <c r="C300" s="631" t="str">
        <f>IFERROR(VLOOKUP(B300,'ПО КОРИСНИЦИМА'!$C$3:$J$508,5,FALSE),"")</f>
        <v>Пројекат "Изградња тениских терена на УСЦ Куњак" - Владичин Хан</v>
      </c>
      <c r="D300" s="288">
        <f>SUMIF('ПО КОРИСНИЦИМА'!$C$3:$C$547,B300,'ПО КОРИСНИЦИМА'!$H$3:$H$547)</f>
        <v>1800000</v>
      </c>
      <c r="E300" s="292">
        <f t="shared" ref="E300" si="22">IFERROR(D300/$D$341,"-")</f>
        <v>2.2058823529411764E-3</v>
      </c>
      <c r="F300" s="413">
        <f>SUMIF('ПО КОРИСНИЦИМА'!$C$3:$C$547,B300,'ПО КОРИСНИЦИМА'!$I$3:$I$547)</f>
        <v>5100000</v>
      </c>
      <c r="G300" s="298">
        <f t="shared" ref="G300" si="23">D300+F300</f>
        <v>6900000</v>
      </c>
      <c r="H300" s="293"/>
    </row>
    <row r="301" spans="1:8" hidden="1">
      <c r="A301" s="96"/>
      <c r="B301" s="96" t="s">
        <v>4538</v>
      </c>
      <c r="C301" s="262" t="str">
        <f>IFERROR(VLOOKUP(B301,'ПО КОРИСНИЦИМА'!$C$3:$J$508,5,FALSE),"")</f>
        <v/>
      </c>
      <c r="D301" s="280">
        <f>SUMIF('ПО КОРИСНИЦИМА'!$G$3:$G$508,"Свега за пројекат 1301-П7:",'ПО КОРИСНИЦИМА'!$H$3:$H$508)</f>
        <v>0</v>
      </c>
      <c r="E301" s="289">
        <f t="shared" ref="E301:E318" si="24">IFERROR(D301/$D$341,"-")</f>
        <v>0</v>
      </c>
      <c r="F301" s="92">
        <f>SUMIF('ПО КОРИСНИЦИМА'!$G$3:$G$508,"Свега за пројекат 1301-П7:",'ПО КОРИСНИЦИМА'!$I$3:$I$508)</f>
        <v>0</v>
      </c>
      <c r="G301" s="291">
        <f t="shared" si="10"/>
        <v>0</v>
      </c>
      <c r="H301" s="293"/>
    </row>
    <row r="302" spans="1:8" hidden="1">
      <c r="A302" s="96"/>
      <c r="B302" s="96" t="s">
        <v>4539</v>
      </c>
      <c r="C302" s="262" t="str">
        <f>IFERROR(VLOOKUP(B302,'ПО КОРИСНИЦИМА'!$C$3:$J$508,5,FALSE),"")</f>
        <v/>
      </c>
      <c r="D302" s="280">
        <f>SUMIF('ПО КОРИСНИЦИМА'!$G$3:$G$508,"Свега за пројекат 1301-П8:",'ПО КОРИСНИЦИМА'!$H$3:$H$508)</f>
        <v>0</v>
      </c>
      <c r="E302" s="289">
        <f t="shared" si="24"/>
        <v>0</v>
      </c>
      <c r="F302" s="92">
        <f>SUMIF('ПО КОРИСНИЦИМА'!$G$3:$G$508,"Свега за пројекат 1301-П8:",'ПО КОРИСНИЦИМА'!$I$3:$I$508)</f>
        <v>0</v>
      </c>
      <c r="G302" s="291">
        <f t="shared" si="10"/>
        <v>0</v>
      </c>
      <c r="H302" s="293"/>
    </row>
    <row r="303" spans="1:8" hidden="1">
      <c r="A303" s="96"/>
      <c r="B303" s="96" t="s">
        <v>4540</v>
      </c>
      <c r="C303" s="262" t="str">
        <f>IFERROR(VLOOKUP(B303,'ПО КОРИСНИЦИМА'!$C$3:$J$508,5,FALSE),"")</f>
        <v/>
      </c>
      <c r="D303" s="280">
        <f>SUMIF('ПО КОРИСНИЦИМА'!$G$3:$G$508,"Свега за пројекат 1301-П9:",'ПО КОРИСНИЦИМА'!$H$3:$H$508)</f>
        <v>0</v>
      </c>
      <c r="E303" s="289">
        <f t="shared" si="24"/>
        <v>0</v>
      </c>
      <c r="F303" s="92">
        <f>SUMIF('ПО КОРИСНИЦИМА'!$G$3:$G$508,"Свега за пројекат 1301-П9:",'ПО КОРИСНИЦИМА'!$I$3:$I$508)</f>
        <v>0</v>
      </c>
      <c r="G303" s="291">
        <f t="shared" si="10"/>
        <v>0</v>
      </c>
      <c r="H303" s="293"/>
    </row>
    <row r="304" spans="1:8" hidden="1">
      <c r="A304" s="96"/>
      <c r="B304" s="96" t="s">
        <v>4239</v>
      </c>
      <c r="C304" s="262" t="str">
        <f>IFERROR(VLOOKUP(B304,'ПО КОРИСНИЦИМА'!$C$3:$J$508,5,FALSE),"")</f>
        <v/>
      </c>
      <c r="D304" s="280">
        <f>SUMIF('ПО КОРИСНИЦИМА'!$G$3:$G$508,"Свега за пројекат 1301-П10:",'ПО КОРИСНИЦИМА'!$H$3:$H$508)</f>
        <v>0</v>
      </c>
      <c r="E304" s="289">
        <f t="shared" si="24"/>
        <v>0</v>
      </c>
      <c r="F304" s="92">
        <f>SUMIF('ПО КОРИСНИЦИМА'!$G$3:$G$508,"Свега за пројекат 1301-П10:",'ПО КОРИСНИЦИМА'!$I$3:$I$508)</f>
        <v>0</v>
      </c>
      <c r="G304" s="291">
        <f t="shared" si="10"/>
        <v>0</v>
      </c>
      <c r="H304" s="293"/>
    </row>
    <row r="305" spans="1:8" hidden="1">
      <c r="A305" s="96"/>
      <c r="B305" s="96" t="s">
        <v>4240</v>
      </c>
      <c r="C305" s="262" t="str">
        <f>IFERROR(VLOOKUP(B305,'ПО КОРИСНИЦИМА'!$C$3:$J$508,5,FALSE),"")</f>
        <v/>
      </c>
      <c r="D305" s="280">
        <f>SUMIF('ПО КОРИСНИЦИМА'!$G$3:$G$508,"Свега за пројекат 1301-П11:",'ПО КОРИСНИЦИМА'!$H$3:$H$508)</f>
        <v>0</v>
      </c>
      <c r="E305" s="289">
        <f t="shared" si="24"/>
        <v>0</v>
      </c>
      <c r="F305" s="92">
        <f>SUMIF('ПО КОРИСНИЦИМА'!$G$3:$G$508,"Свега за пројекат 1301-П11:",'ПО КОРИСНИЦИМА'!$I$3:$I$508)</f>
        <v>0</v>
      </c>
      <c r="G305" s="291">
        <f t="shared" si="10"/>
        <v>0</v>
      </c>
      <c r="H305" s="293"/>
    </row>
    <row r="306" spans="1:8" hidden="1">
      <c r="A306" s="96"/>
      <c r="B306" s="96" t="s">
        <v>4241</v>
      </c>
      <c r="C306" s="262" t="str">
        <f>IFERROR(VLOOKUP(B306,'ПО КОРИСНИЦИМА'!$C$3:$J$508,5,FALSE),"")</f>
        <v/>
      </c>
      <c r="D306" s="280">
        <f>SUMIF('ПО КОРИСНИЦИМА'!$G$3:$G$508,"Свега за пројекат 1301-П12:",'ПО КОРИСНИЦИМА'!$H$3:$H$508)</f>
        <v>0</v>
      </c>
      <c r="E306" s="289">
        <f t="shared" si="24"/>
        <v>0</v>
      </c>
      <c r="F306" s="92">
        <f>SUMIF('ПО КОРИСНИЦИМА'!$G$3:$G$508,"Свега за пројекат 1301-П12:",'ПО КОРИСНИЦИМА'!$I$3:$I$508)</f>
        <v>0</v>
      </c>
      <c r="G306" s="291">
        <f t="shared" si="10"/>
        <v>0</v>
      </c>
      <c r="H306" s="293"/>
    </row>
    <row r="307" spans="1:8" hidden="1">
      <c r="A307" s="96"/>
      <c r="B307" s="96" t="s">
        <v>4242</v>
      </c>
      <c r="C307" s="262" t="str">
        <f>IFERROR(VLOOKUP(B307,'ПО КОРИСНИЦИМА'!$C$3:$J$508,5,FALSE),"")</f>
        <v/>
      </c>
      <c r="D307" s="280">
        <f>SUMIF('ПО КОРИСНИЦИМА'!$G$3:$G$508,"Свега за пројекат 1301-П13:",'ПО КОРИСНИЦИМА'!$H$3:$H$508)</f>
        <v>0</v>
      </c>
      <c r="E307" s="289">
        <f t="shared" si="24"/>
        <v>0</v>
      </c>
      <c r="F307" s="92">
        <f>SUMIF('ПО КОРИСНИЦИМА'!$G$3:$G$508,"Свега за пројекат 1301-П13:",'ПО КОРИСНИЦИМА'!$I$3:$I$508)</f>
        <v>0</v>
      </c>
      <c r="G307" s="291">
        <f t="shared" si="10"/>
        <v>0</v>
      </c>
      <c r="H307" s="293"/>
    </row>
    <row r="308" spans="1:8" hidden="1">
      <c r="A308" s="96"/>
      <c r="B308" s="96" t="s">
        <v>4243</v>
      </c>
      <c r="C308" s="262" t="str">
        <f>IFERROR(VLOOKUP(B308,'ПО КОРИСНИЦИМА'!$C$3:$J$508,5,FALSE),"")</f>
        <v/>
      </c>
      <c r="D308" s="280">
        <f>SUMIF('ПО КОРИСНИЦИМА'!$G$3:$G$508,"Свега за пројекат 1301-П14:",'ПО КОРИСНИЦИМА'!$H$3:$H$508)</f>
        <v>0</v>
      </c>
      <c r="E308" s="289">
        <f t="shared" si="24"/>
        <v>0</v>
      </c>
      <c r="F308" s="92">
        <f>SUMIF('ПО КОРИСНИЦИМА'!$G$3:$G$508,"Свега за пројекат 1301-П14:",'ПО КОРИСНИЦИМА'!$I$3:$I$508)</f>
        <v>0</v>
      </c>
      <c r="G308" s="291">
        <f t="shared" si="10"/>
        <v>0</v>
      </c>
      <c r="H308" s="293"/>
    </row>
    <row r="309" spans="1:8" hidden="1">
      <c r="A309" s="96"/>
      <c r="B309" s="96" t="s">
        <v>4244</v>
      </c>
      <c r="C309" s="262" t="str">
        <f>IFERROR(VLOOKUP(B309,'ПО КОРИСНИЦИМА'!$C$3:$J$508,5,FALSE),"")</f>
        <v/>
      </c>
      <c r="D309" s="280">
        <f>SUMIF('ПО КОРИСНИЦИМА'!$G$3:$G$508,"Свега за пројекат 1301-П15:",'ПО КОРИСНИЦИМА'!$H$3:$H$508)</f>
        <v>0</v>
      </c>
      <c r="E309" s="289">
        <f t="shared" si="24"/>
        <v>0</v>
      </c>
      <c r="F309" s="92">
        <f>SUMIF('ПО КОРИСНИЦИМА'!$G$3:$G$508,"Свега за пројекат 1301-П15:",'ПО КОРИСНИЦИМА'!$I$3:$I$508)</f>
        <v>0</v>
      </c>
      <c r="G309" s="291">
        <f t="shared" si="10"/>
        <v>0</v>
      </c>
      <c r="H309" s="293"/>
    </row>
    <row r="310" spans="1:8" hidden="1">
      <c r="A310" s="96"/>
      <c r="B310" s="96" t="s">
        <v>4245</v>
      </c>
      <c r="C310" s="262" t="str">
        <f>IFERROR(VLOOKUP(B310,'ПО КОРИСНИЦИМА'!$C$3:$J$508,5,FALSE),"")</f>
        <v/>
      </c>
      <c r="D310" s="280">
        <f>SUMIF('ПО КОРИСНИЦИМА'!$G$3:$G$508,"Свега за пројекат 1301-П16:",'ПО КОРИСНИЦИМА'!$H$3:$H$508)</f>
        <v>0</v>
      </c>
      <c r="E310" s="289">
        <f t="shared" si="24"/>
        <v>0</v>
      </c>
      <c r="F310" s="92">
        <f>SUMIF('ПО КОРИСНИЦИМА'!$G$3:$G$508,"Свега за пројекат 1301-П16:",'ПО КОРИСНИЦИМА'!$I$3:$I$508)</f>
        <v>0</v>
      </c>
      <c r="G310" s="291">
        <f t="shared" si="10"/>
        <v>0</v>
      </c>
      <c r="H310" s="293"/>
    </row>
    <row r="311" spans="1:8" hidden="1">
      <c r="A311" s="96"/>
      <c r="B311" s="96" t="s">
        <v>4246</v>
      </c>
      <c r="C311" s="262" t="str">
        <f>IFERROR(VLOOKUP(B311,'ПО КОРИСНИЦИМА'!$C$3:$J$508,5,FALSE),"")</f>
        <v/>
      </c>
      <c r="D311" s="280">
        <f>SUMIF('ПО КОРИСНИЦИМА'!$G$3:$G$508,"Свега за пројекат 1301-П17:",'ПО КОРИСНИЦИМА'!$H$3:$H$508)</f>
        <v>0</v>
      </c>
      <c r="E311" s="289">
        <f t="shared" si="24"/>
        <v>0</v>
      </c>
      <c r="F311" s="92">
        <f>SUMIF('ПО КОРИСНИЦИМА'!$G$3:$G$508,"Свега за пројекат 1301-П17:",'ПО КОРИСНИЦИМА'!$I$3:$I$508)</f>
        <v>0</v>
      </c>
      <c r="G311" s="291">
        <f t="shared" si="10"/>
        <v>0</v>
      </c>
      <c r="H311" s="293"/>
    </row>
    <row r="312" spans="1:8" hidden="1">
      <c r="A312" s="96"/>
      <c r="B312" s="96" t="s">
        <v>4247</v>
      </c>
      <c r="C312" s="262" t="str">
        <f>IFERROR(VLOOKUP(B312,'ПО КОРИСНИЦИМА'!$C$3:$J$508,5,FALSE),"")</f>
        <v/>
      </c>
      <c r="D312" s="280">
        <f>SUMIF('ПО КОРИСНИЦИМА'!$G$3:$G$508,"Свега за пројекат 1301-П18:",'ПО КОРИСНИЦИМА'!$H$3:$H$508)</f>
        <v>0</v>
      </c>
      <c r="E312" s="289">
        <f t="shared" si="24"/>
        <v>0</v>
      </c>
      <c r="F312" s="92">
        <f>SUMIF('ПО КОРИСНИЦИМА'!$G$3:$G$508,"Свега за пројекат 1301-П18:",'ПО КОРИСНИЦИМА'!$I$3:$I$508)</f>
        <v>0</v>
      </c>
      <c r="G312" s="291">
        <f t="shared" si="10"/>
        <v>0</v>
      </c>
      <c r="H312" s="293"/>
    </row>
    <row r="313" spans="1:8" hidden="1">
      <c r="A313" s="96"/>
      <c r="B313" s="96" t="s">
        <v>4248</v>
      </c>
      <c r="C313" s="262" t="str">
        <f>IFERROR(VLOOKUP(B313,'ПО КОРИСНИЦИМА'!$C$3:$J$508,5,FALSE),"")</f>
        <v/>
      </c>
      <c r="D313" s="280">
        <f>SUMIF('ПО КОРИСНИЦИМА'!$G$3:$G$508,"Свега за пројекат 1301-П19:",'ПО КОРИСНИЦИМА'!$H$3:$H$508)</f>
        <v>0</v>
      </c>
      <c r="E313" s="289">
        <f t="shared" si="24"/>
        <v>0</v>
      </c>
      <c r="F313" s="92">
        <f>SUMIF('ПО КОРИСНИЦИМА'!$G$3:$G$508,"Свега за пројекат 1301-П19:",'ПО КОРИСНИЦИМА'!$I$3:$I$508)</f>
        <v>0</v>
      </c>
      <c r="G313" s="291">
        <f t="shared" si="10"/>
        <v>0</v>
      </c>
      <c r="H313" s="293"/>
    </row>
    <row r="314" spans="1:8" hidden="1">
      <c r="A314" s="96"/>
      <c r="B314" s="96" t="s">
        <v>4249</v>
      </c>
      <c r="C314" s="262" t="str">
        <f>IFERROR(VLOOKUP(B314,'ПО КОРИСНИЦИМА'!$C$3:$J$508,5,FALSE),"")</f>
        <v/>
      </c>
      <c r="D314" s="280">
        <f>SUMIF('ПО КОРИСНИЦИМА'!$G$3:$G$508,"Свега за пројекат 1301-П20:",'ПО КОРИСНИЦИМА'!$H$3:$H$508)</f>
        <v>0</v>
      </c>
      <c r="E314" s="289">
        <f t="shared" si="24"/>
        <v>0</v>
      </c>
      <c r="F314" s="92">
        <f>SUMIF('ПО КОРИСНИЦИМА'!$G$3:$G$508,"Свега за пројекат 1301-П20:",'ПО КОРИСНИЦИМА'!$I$3:$I$508)</f>
        <v>0</v>
      </c>
      <c r="G314" s="291">
        <f t="shared" si="10"/>
        <v>0</v>
      </c>
      <c r="H314" s="293"/>
    </row>
    <row r="315" spans="1:8" hidden="1">
      <c r="A315" s="96"/>
      <c r="B315" s="96" t="s">
        <v>4250</v>
      </c>
      <c r="C315" s="262" t="str">
        <f>IFERROR(VLOOKUP(B315,'ПО КОРИСНИЦИМА'!$C$3:$J$508,5,FALSE),"")</f>
        <v/>
      </c>
      <c r="D315" s="280">
        <f>SUMIF('ПО КОРИСНИЦИМА'!$G$3:$G$508,"Свега за пројекат 1301-П21:",'ПО КОРИСНИЦИМА'!$H$3:$H$508)</f>
        <v>0</v>
      </c>
      <c r="E315" s="289">
        <f t="shared" si="24"/>
        <v>0</v>
      </c>
      <c r="F315" s="92">
        <f>SUMIF('ПО КОРИСНИЦИМА'!$G$3:$G$508,"Свега за пројекат 1301-П21:",'ПО КОРИСНИЦИМА'!$I$3:$I$508)</f>
        <v>0</v>
      </c>
      <c r="G315" s="291">
        <f t="shared" si="10"/>
        <v>0</v>
      </c>
      <c r="H315" s="293"/>
    </row>
    <row r="316" spans="1:8" hidden="1">
      <c r="A316" s="96"/>
      <c r="B316" s="96" t="s">
        <v>4251</v>
      </c>
      <c r="C316" s="262" t="str">
        <f>IFERROR(VLOOKUP(B316,'ПО КОРИСНИЦИМА'!$C$3:$J$508,5,FALSE),"")</f>
        <v/>
      </c>
      <c r="D316" s="280">
        <f>SUMIF('ПО КОРИСНИЦИМА'!$G$3:$G$508,"Свега за пројекат 1301-П22:",'ПО КОРИСНИЦИМА'!$H$3:$H$508)</f>
        <v>0</v>
      </c>
      <c r="E316" s="289">
        <f t="shared" si="24"/>
        <v>0</v>
      </c>
      <c r="F316" s="92">
        <f>SUMIF('ПО КОРИСНИЦИМА'!$G$3:$G$508,"Свега за пројекат 1301-П22:",'ПО КОРИСНИЦИМА'!$I$3:$I$508)</f>
        <v>0</v>
      </c>
      <c r="G316" s="291">
        <f t="shared" si="10"/>
        <v>0</v>
      </c>
      <c r="H316" s="293"/>
    </row>
    <row r="317" spans="1:8" hidden="1">
      <c r="A317" s="96"/>
      <c r="B317" s="96" t="s">
        <v>4252</v>
      </c>
      <c r="C317" s="262" t="str">
        <f>IFERROR(VLOOKUP(B317,'ПО КОРИСНИЦИМА'!$C$3:$J$508,5,FALSE),"")</f>
        <v/>
      </c>
      <c r="D317" s="280">
        <f>SUMIF('ПО КОРИСНИЦИМА'!$G$3:$G$508,"Свега за пројекат 1301-П23:",'ПО КОРИСНИЦИМА'!$H$3:$H$508)</f>
        <v>0</v>
      </c>
      <c r="E317" s="289">
        <f t="shared" si="24"/>
        <v>0</v>
      </c>
      <c r="F317" s="92">
        <f>SUMIF('ПО КОРИСНИЦИМА'!$G$3:$G$508,"Свега за пројекат 1301-П23:",'ПО КОРИСНИЦИМА'!$I$3:$I$508)</f>
        <v>0</v>
      </c>
      <c r="G317" s="291">
        <f t="shared" si="10"/>
        <v>0</v>
      </c>
      <c r="H317" s="293"/>
    </row>
    <row r="318" spans="1:8" hidden="1">
      <c r="A318" s="96"/>
      <c r="B318" s="96" t="s">
        <v>4253</v>
      </c>
      <c r="C318" s="262" t="str">
        <f>IFERROR(VLOOKUP(B318,'ПО КОРИСНИЦИМА'!$C$3:$J$508,5,FALSE),"")</f>
        <v/>
      </c>
      <c r="D318" s="280">
        <f>SUMIF('ПО КОРИСНИЦИМА'!$G$3:$G$508,"Свега за пројекат 1301-П24:",'ПО КОРИСНИЦИМА'!$H$3:$H$508)</f>
        <v>0</v>
      </c>
      <c r="E318" s="289">
        <f t="shared" si="24"/>
        <v>0</v>
      </c>
      <c r="F318" s="92">
        <f>SUMIF('ПО КОРИСНИЦИМА'!$G$3:$G$508,"Свега за пројекат 1301-П24:",'ПО КОРИСНИЦИМА'!$I$3:$I$508)</f>
        <v>0</v>
      </c>
      <c r="G318" s="291">
        <f t="shared" si="10"/>
        <v>0</v>
      </c>
      <c r="H318" s="293"/>
    </row>
    <row r="319" spans="1:8" s="94" customFormat="1" ht="14.25">
      <c r="A319" s="229" t="s">
        <v>3598</v>
      </c>
      <c r="B319" s="230"/>
      <c r="C319" s="260" t="s">
        <v>4438</v>
      </c>
      <c r="D319" s="284">
        <f>SUM(D320:D331)</f>
        <v>160880000</v>
      </c>
      <c r="E319" s="285">
        <f t="shared" ref="E319:E335" si="25">IFERROR(D319/$D$341,"-")</f>
        <v>0.19715686274509803</v>
      </c>
      <c r="F319" s="529">
        <f>SUM(F320:F331)</f>
        <v>18000000</v>
      </c>
      <c r="G319" s="284">
        <f t="shared" si="10"/>
        <v>178880000</v>
      </c>
      <c r="H319" s="286"/>
    </row>
    <row r="320" spans="1:8">
      <c r="A320" s="228"/>
      <c r="B320" s="714" t="s">
        <v>3996</v>
      </c>
      <c r="C320" s="263" t="s">
        <v>3997</v>
      </c>
      <c r="D320" s="288">
        <f>SUMIF('ПО КОРИСНИЦИМА'!$C$3:$C$547,B320,'ПО КОРИСНИЦИМА'!$H$3:$H$547)</f>
        <v>126650000</v>
      </c>
      <c r="E320" s="289">
        <f t="shared" si="25"/>
        <v>0.15520833333333334</v>
      </c>
      <c r="F320" s="413">
        <f>SUMIF('ПО КОРИСНИЦИМА'!$C$3:$C$547,B320,'ПО КОРИСНИЦИМА'!$I$3:$I$547)</f>
        <v>0</v>
      </c>
      <c r="G320" s="297">
        <f t="shared" ref="G320:G341" si="26">D320+F320</f>
        <v>126650000</v>
      </c>
      <c r="H320" s="290"/>
    </row>
    <row r="321" spans="1:8">
      <c r="A321" s="93"/>
      <c r="B321" s="259" t="s">
        <v>3998</v>
      </c>
      <c r="C321" s="264" t="s">
        <v>4440</v>
      </c>
      <c r="D321" s="288">
        <f>SUMIF('ПО КОРИСНИЦИМА'!$C$3:$C$547,B321,'ПО КОРИСНИЦИМА'!$H$3:$H$547)</f>
        <v>1630000</v>
      </c>
      <c r="E321" s="289">
        <f t="shared" si="25"/>
        <v>1.9975490196078431E-3</v>
      </c>
      <c r="F321" s="413">
        <f>SUMIF('ПО КОРИСНИЦИМА'!$C$3:$C$547,B321,'ПО КОРИСНИЦИМА'!$I$3:$I$547)</f>
        <v>0</v>
      </c>
      <c r="G321" s="298">
        <f t="shared" si="26"/>
        <v>1630000</v>
      </c>
      <c r="H321" s="294"/>
    </row>
    <row r="322" spans="1:8" hidden="1">
      <c r="A322" s="93"/>
      <c r="B322" s="259" t="s">
        <v>3999</v>
      </c>
      <c r="C322" s="264" t="s">
        <v>4441</v>
      </c>
      <c r="D322" s="288">
        <f>SUMIF('ПО КОРИСНИЦИМА'!$C$3:$C$547,B322,'ПО КОРИСНИЦИМА'!$H$3:$H$547)</f>
        <v>0</v>
      </c>
      <c r="E322" s="289">
        <f t="shared" si="25"/>
        <v>0</v>
      </c>
      <c r="F322" s="413">
        <f>SUMIF('ПО КОРИСНИЦИМА'!$C$3:$C$547,B322,'ПО КОРИСНИЦИМА'!$I$3:$I$547)</f>
        <v>0</v>
      </c>
      <c r="G322" s="298">
        <f t="shared" si="26"/>
        <v>0</v>
      </c>
      <c r="H322" s="294"/>
    </row>
    <row r="323" spans="1:8">
      <c r="A323" s="93"/>
      <c r="B323" s="259" t="s">
        <v>4000</v>
      </c>
      <c r="C323" s="264" t="s">
        <v>4001</v>
      </c>
      <c r="D323" s="288">
        <f>SUMIF('ПО КОРИСНИЦИМА'!$C$3:$C$547,B323,'ПО КОРИСНИЦИМА'!$H$3:$H$547)</f>
        <v>3100000</v>
      </c>
      <c r="E323" s="289">
        <f t="shared" si="25"/>
        <v>3.7990196078431372E-3</v>
      </c>
      <c r="F323" s="413">
        <f>SUMIF('ПО КОРИСНИЦИМА'!$C$3:$C$547,B323,'ПО КОРИСНИЦИМА'!$I$3:$I$547)</f>
        <v>0</v>
      </c>
      <c r="G323" s="298">
        <f t="shared" si="26"/>
        <v>3100000</v>
      </c>
      <c r="H323" s="294"/>
    </row>
    <row r="324" spans="1:8" hidden="1">
      <c r="A324" s="93"/>
      <c r="B324" s="259" t="s">
        <v>4002</v>
      </c>
      <c r="C324" s="264" t="s">
        <v>4541</v>
      </c>
      <c r="D324" s="288">
        <f>SUMIF('ПО КОРИСНИЦИМА'!$C$3:$C$547,B324,'ПО КОРИСНИЦИМА'!$H$3:$H$547)</f>
        <v>0</v>
      </c>
      <c r="E324" s="289">
        <f t="shared" si="25"/>
        <v>0</v>
      </c>
      <c r="F324" s="413">
        <f>SUMIF('ПО КОРИСНИЦИМА'!$C$3:$C$547,B324,'ПО КОРИСНИЦИМА'!$I$3:$I$547)</f>
        <v>0</v>
      </c>
      <c r="G324" s="298">
        <f t="shared" si="26"/>
        <v>0</v>
      </c>
      <c r="H324" s="294"/>
    </row>
    <row r="325" spans="1:8" hidden="1">
      <c r="A325" s="93"/>
      <c r="B325" s="259" t="s">
        <v>4003</v>
      </c>
      <c r="C325" s="264" t="s">
        <v>4442</v>
      </c>
      <c r="D325" s="288">
        <f>SUMIF('ПО КОРИСНИЦИМА'!$C$3:$C$547,B325,'ПО КОРИСНИЦИМА'!$H$3:$H$547)</f>
        <v>0</v>
      </c>
      <c r="E325" s="289">
        <f t="shared" si="25"/>
        <v>0</v>
      </c>
      <c r="F325" s="413">
        <f>SUMIF('ПО КОРИСНИЦИМА'!$C$3:$C$547,B325,'ПО КОРИСНИЦИМА'!$I$3:$I$547)</f>
        <v>0</v>
      </c>
      <c r="G325" s="298">
        <f t="shared" si="26"/>
        <v>0</v>
      </c>
      <c r="H325" s="294"/>
    </row>
    <row r="326" spans="1:8" hidden="1">
      <c r="A326" s="93"/>
      <c r="B326" s="259" t="s">
        <v>4004</v>
      </c>
      <c r="C326" s="264" t="s">
        <v>4443</v>
      </c>
      <c r="D326" s="288">
        <f>SUMIF('ПО КОРИСНИЦИМА'!$C$3:$C$547,B326,'ПО КОРИСНИЦИМА'!$H$3:$H$547)</f>
        <v>0</v>
      </c>
      <c r="E326" s="289">
        <f t="shared" si="25"/>
        <v>0</v>
      </c>
      <c r="F326" s="413">
        <f>SUMIF('ПО КОРИСНИЦИМА'!$C$3:$C$547,B326,'ПО КОРИСНИЦИМА'!$I$3:$I$547)</f>
        <v>0</v>
      </c>
      <c r="G326" s="298">
        <f t="shared" si="26"/>
        <v>0</v>
      </c>
      <c r="H326" s="294"/>
    </row>
    <row r="327" spans="1:8">
      <c r="A327" s="93"/>
      <c r="B327" s="259" t="s">
        <v>4005</v>
      </c>
      <c r="C327" s="264" t="s">
        <v>4266</v>
      </c>
      <c r="D327" s="288">
        <f>SUMIF('ПО КОРИСНИЦИМА'!$C$3:$C$547,B327,'ПО КОРИСНИЦИМА'!$H$3:$H$547)</f>
        <v>27000000</v>
      </c>
      <c r="E327" s="289">
        <f t="shared" si="25"/>
        <v>3.3088235294117647E-2</v>
      </c>
      <c r="F327" s="413">
        <f>SUMIF('ПО КОРИСНИЦИМА'!$C$3:$C$547,B327,'ПО КОРИСНИЦИМА'!$I$3:$I$547)</f>
        <v>0</v>
      </c>
      <c r="G327" s="298">
        <f t="shared" si="26"/>
        <v>27000000</v>
      </c>
      <c r="H327" s="294"/>
    </row>
    <row r="328" spans="1:8">
      <c r="A328" s="93"/>
      <c r="B328" s="259" t="s">
        <v>4006</v>
      </c>
      <c r="C328" s="264" t="s">
        <v>4265</v>
      </c>
      <c r="D328" s="288">
        <f>SUMIF('ПО КОРИСНИЦИМА'!$C$3:$C$547,B328,'ПО КОРИСНИЦИМА'!$H$3:$H$547)</f>
        <v>500000</v>
      </c>
      <c r="E328" s="289">
        <f t="shared" si="25"/>
        <v>6.1274509803921568E-4</v>
      </c>
      <c r="F328" s="413">
        <f>SUMIF('ПО КОРИСНИЦИМА'!$C$3:$C$547,B328,'ПО КОРИСНИЦИМА'!$I$3:$I$547)</f>
        <v>0</v>
      </c>
      <c r="G328" s="298">
        <f t="shared" si="26"/>
        <v>500000</v>
      </c>
      <c r="H328" s="294"/>
    </row>
    <row r="329" spans="1:8">
      <c r="A329" s="93"/>
      <c r="B329" s="259" t="s">
        <v>4439</v>
      </c>
      <c r="C329" s="264" t="s">
        <v>4040</v>
      </c>
      <c r="D329" s="288">
        <f>SUMIF('ПО КОРИСНИЦИМА'!$C$3:$C$547,B329,'ПО КОРИСНИЦИМА'!$H$3:$H$547)</f>
        <v>0</v>
      </c>
      <c r="E329" s="289">
        <f t="shared" si="25"/>
        <v>0</v>
      </c>
      <c r="F329" s="413">
        <f>SUMIF('ПО КОРИСНИЦИМА'!$C$3:$C$547,B329,'ПО КОРИСНИЦИМА'!$I$3:$I$547)</f>
        <v>0</v>
      </c>
      <c r="G329" s="298">
        <f t="shared" si="26"/>
        <v>0</v>
      </c>
      <c r="H329" s="293"/>
    </row>
    <row r="330" spans="1:8">
      <c r="A330" s="93"/>
      <c r="B330" s="259" t="s">
        <v>4321</v>
      </c>
      <c r="C330" s="264" t="s">
        <v>4444</v>
      </c>
      <c r="D330" s="288">
        <f>SUMIF('ПО КОРИСНИЦИМА'!$C$3:$C$547,B330,'ПО КОРИСНИЦИМА'!$H$3:$H$547)</f>
        <v>0</v>
      </c>
      <c r="E330" s="289">
        <f t="shared" si="25"/>
        <v>0</v>
      </c>
      <c r="F330" s="413">
        <f>SUMIF('ПО КОРИСНИЦИМА'!$C$3:$C$547,B330,'ПО КОРИСНИЦИМА'!$I$3:$I$547)</f>
        <v>0</v>
      </c>
      <c r="G330" s="298">
        <f t="shared" si="26"/>
        <v>0</v>
      </c>
      <c r="H330" s="293"/>
    </row>
    <row r="331" spans="1:8" ht="28.5" customHeight="1">
      <c r="A331" s="93"/>
      <c r="B331" s="259" t="s">
        <v>4662</v>
      </c>
      <c r="C331" s="629" t="s">
        <v>4696</v>
      </c>
      <c r="D331" s="288">
        <f>SUMIF('ПО КОРИСНИЦИМА'!$C$3:$C$547,B331,'ПО КОРИСНИЦИМА'!$H$3:$H$547)</f>
        <v>2000000</v>
      </c>
      <c r="E331" s="289">
        <f t="shared" ref="E331" si="27">IFERROR(D331/$D$341,"-")</f>
        <v>2.4509803921568627E-3</v>
      </c>
      <c r="F331" s="413">
        <f>SUMIF('ПО КОРИСНИЦИМА'!$C$3:$C$547,B331,'ПО КОРИСНИЦИМА'!$I$3:$I$547)</f>
        <v>18000000</v>
      </c>
      <c r="G331" s="298">
        <f t="shared" ref="G331" si="28">D331+F331</f>
        <v>20000000</v>
      </c>
      <c r="H331" s="293"/>
    </row>
    <row r="332" spans="1:8">
      <c r="A332" s="635">
        <v>2101</v>
      </c>
      <c r="B332" s="636"/>
      <c r="C332" s="637" t="s">
        <v>4445</v>
      </c>
      <c r="D332" s="638">
        <f>D333+D334+D335</f>
        <v>15620000</v>
      </c>
      <c r="E332" s="639">
        <f t="shared" si="25"/>
        <v>1.9142156862745098E-2</v>
      </c>
      <c r="F332" s="640">
        <f>SUMIF('ПО КОРИСНИЦИМА'!$C$3:$C$547,B332,'ПО КОРИСНИЦИМА'!$I$3:$I$547)</f>
        <v>0</v>
      </c>
      <c r="G332" s="641">
        <f t="shared" si="26"/>
        <v>15620000</v>
      </c>
      <c r="H332" s="642"/>
    </row>
    <row r="333" spans="1:8">
      <c r="A333" s="93"/>
      <c r="B333" s="259" t="s">
        <v>4335</v>
      </c>
      <c r="C333" s="264" t="s">
        <v>4447</v>
      </c>
      <c r="D333" s="288">
        <f>SUMIF('ПО КОРИСНИЦИМА'!$C$3:$C$547,B333,'ПО КОРИСНИЦИМА'!$H$3:$H$547)</f>
        <v>4910000</v>
      </c>
      <c r="E333" s="289">
        <f t="shared" si="25"/>
        <v>6.0171568627450977E-3</v>
      </c>
      <c r="F333" s="413">
        <f>SUMIF('ПО КОРИСНИЦИМА'!$C$3:$C$547,B333,'ПО КОРИСНИЦИМА'!$I$3:$I$547)</f>
        <v>0</v>
      </c>
      <c r="G333" s="298">
        <f t="shared" si="26"/>
        <v>4910000</v>
      </c>
      <c r="H333" s="293"/>
    </row>
    <row r="334" spans="1:8">
      <c r="A334" s="93"/>
      <c r="B334" s="259" t="s">
        <v>4345</v>
      </c>
      <c r="C334" s="264" t="s">
        <v>4448</v>
      </c>
      <c r="D334" s="288">
        <f>SUMIF('ПО КОРИСНИЦИМА'!$C$3:$C$547,B334,'ПО КОРИСНИЦИМА'!$H$3:$H$547)</f>
        <v>10710000</v>
      </c>
      <c r="E334" s="289">
        <f t="shared" si="25"/>
        <v>1.3125E-2</v>
      </c>
      <c r="F334" s="413">
        <f>SUMIF('ПО КОРИСНИЦИМА'!$C$3:$C$547,B334,'ПО КОРИСНИЦИМА'!$I$3:$I$547)</f>
        <v>0</v>
      </c>
      <c r="G334" s="298">
        <f t="shared" si="26"/>
        <v>10710000</v>
      </c>
      <c r="H334" s="293"/>
    </row>
    <row r="335" spans="1:8" hidden="1">
      <c r="A335" s="93"/>
      <c r="B335" s="259" t="s">
        <v>4446</v>
      </c>
      <c r="C335" s="264" t="s">
        <v>4449</v>
      </c>
      <c r="D335" s="288">
        <f>SUMIF('ПО КОРИСНИЦИМА'!$C$3:$C$547,B335,'ПО КОРИСНИЦИМА'!$H$3:$H$547)</f>
        <v>0</v>
      </c>
      <c r="E335" s="289">
        <f t="shared" si="25"/>
        <v>0</v>
      </c>
      <c r="F335" s="413">
        <f>SUMIF('ПО КОРИСНИЦИМА'!$C$3:$C$547,B335,'ПО КОРИСНИЦИМА'!$I$3:$I$547)</f>
        <v>0</v>
      </c>
      <c r="G335" s="298">
        <f t="shared" si="26"/>
        <v>0</v>
      </c>
      <c r="H335" s="293"/>
    </row>
    <row r="336" spans="1:8" ht="26.25">
      <c r="A336" s="713" t="s">
        <v>4464</v>
      </c>
      <c r="B336" s="636"/>
      <c r="C336" s="720" t="s">
        <v>4542</v>
      </c>
      <c r="D336" s="638">
        <f>D337+D338+D339</f>
        <v>5200000</v>
      </c>
      <c r="E336" s="639">
        <f t="shared" ref="E336:E341" si="29">IFERROR(D336/$D$341,"-")</f>
        <v>6.372549019607843E-3</v>
      </c>
      <c r="F336" s="640">
        <f>F337</f>
        <v>17000000</v>
      </c>
      <c r="G336" s="641">
        <f>D336+F336</f>
        <v>22200000</v>
      </c>
      <c r="H336" s="293"/>
    </row>
    <row r="337" spans="1:8">
      <c r="A337" s="93"/>
      <c r="B337" s="259" t="s">
        <v>4466</v>
      </c>
      <c r="C337" s="264" t="s">
        <v>4543</v>
      </c>
      <c r="D337" s="288">
        <f>SUMIF('ПО КОРИСНИЦИМА'!$C$3:$C$547,B337,'ПО КОРИСНИЦИМА'!$H$3:$H$547)</f>
        <v>5200000</v>
      </c>
      <c r="E337" s="289">
        <f t="shared" si="29"/>
        <v>6.372549019607843E-3</v>
      </c>
      <c r="F337" s="413">
        <f>SUMIF('ПО КОРИСНИЦИМА'!$C$3:$C$547,B337,'ПО КОРИСНИЦИМА'!$I$3:$I$547)</f>
        <v>17000000</v>
      </c>
      <c r="G337" s="298">
        <f>D337+F337</f>
        <v>22200000</v>
      </c>
      <c r="H337" s="293"/>
    </row>
    <row r="338" spans="1:8" hidden="1">
      <c r="A338" s="93"/>
      <c r="B338" s="259" t="s">
        <v>4544</v>
      </c>
      <c r="C338" s="264"/>
      <c r="D338" s="288">
        <f>SUMIF('ПО КОРИСНИЦИМА'!$C$3:$C$547,B338,'ПО КОРИСНИЦИМА'!$H$3:$H$547)</f>
        <v>0</v>
      </c>
      <c r="E338" s="289">
        <f t="shared" si="29"/>
        <v>0</v>
      </c>
      <c r="F338" s="413">
        <f>SUMIF('ПО КОРИСНИЦИМА'!$C$3:$C$547,B338,'ПО КОРИСНИЦИМА'!$I$3:$I$547)</f>
        <v>0</v>
      </c>
      <c r="G338" s="298">
        <f>D338+F338</f>
        <v>0</v>
      </c>
      <c r="H338" s="293"/>
    </row>
    <row r="339" spans="1:8" hidden="1">
      <c r="A339" s="93"/>
      <c r="B339" s="259" t="s">
        <v>4545</v>
      </c>
      <c r="C339" s="264"/>
      <c r="D339" s="288">
        <f>SUMIF('ПО КОРИСНИЦИМА'!$C$3:$C$547,B339,'ПО КОРИСНИЦИМА'!$H$3:$H$547)</f>
        <v>0</v>
      </c>
      <c r="E339" s="289">
        <f t="shared" si="29"/>
        <v>0</v>
      </c>
      <c r="F339" s="413">
        <f>SUMIF('ПО КОРИСНИЦИМА'!$C$3:$C$547,B339,'ПО КОРИСНИЦИМА'!$I$3:$I$547)</f>
        <v>0</v>
      </c>
      <c r="G339" s="298">
        <f>D339+F339</f>
        <v>0</v>
      </c>
      <c r="H339" s="293"/>
    </row>
    <row r="340" spans="1:8" hidden="1">
      <c r="A340" s="93"/>
      <c r="B340" s="259" t="s">
        <v>4546</v>
      </c>
      <c r="C340" s="262" t="str">
        <f>IFERROR(VLOOKUP(B340,'ПО КОРИСНИЦИМА'!$C$3:$J$508,5,FALSE),"")</f>
        <v/>
      </c>
      <c r="D340" s="288">
        <f>SUMIF('ПО КОРИСНИЦИМА'!$C$3:$C$547,B340,'ПО КОРИСНИЦИМА'!$H$3:$H$547)</f>
        <v>0</v>
      </c>
      <c r="E340" s="292">
        <f t="shared" si="29"/>
        <v>0</v>
      </c>
      <c r="F340" s="413">
        <f>SUMIF('ПО КОРИСНИЦИМА'!$C$3:$C$547,B340,'ПО КОРИСНИЦИМА'!$I$3:$I$547)</f>
        <v>0</v>
      </c>
      <c r="G340" s="298">
        <f t="shared" si="26"/>
        <v>0</v>
      </c>
      <c r="H340" s="294"/>
    </row>
    <row r="341" spans="1:8" ht="27.75" customHeight="1">
      <c r="A341" s="1170"/>
      <c r="B341" s="1171"/>
      <c r="C341" s="270" t="s">
        <v>4010</v>
      </c>
      <c r="D341" s="299">
        <f>D5+D34+D45+D69+D92+D106+D124+D148+D170+D192+D214+D243+D267+D294+D319+D332+D336</f>
        <v>816000000</v>
      </c>
      <c r="E341" s="300">
        <f t="shared" si="29"/>
        <v>1</v>
      </c>
      <c r="F341" s="301">
        <f>SUM(F336,F332,F319,F294,F267,F243,F214,F192,F170,F148,F124,F106,F92,F69,F45,F34,F5)</f>
        <v>218700000</v>
      </c>
      <c r="G341" s="299">
        <f t="shared" si="26"/>
        <v>1034700000</v>
      </c>
      <c r="H341" s="302"/>
    </row>
    <row r="342" spans="1:8">
      <c r="D342" s="281">
        <f>D341-'По основ. нам.'!C86</f>
        <v>0</v>
      </c>
      <c r="F342" s="241">
        <f>'По основ. нам.'!E86</f>
        <v>218700000</v>
      </c>
      <c r="G342" s="282">
        <f>Ukupno_izdaci-Програмска!G341</f>
        <v>0</v>
      </c>
    </row>
    <row r="347" spans="1:8">
      <c r="A347" s="231" t="s">
        <v>3659</v>
      </c>
      <c r="B347" s="207">
        <f>D5</f>
        <v>7700000</v>
      </c>
    </row>
    <row r="348" spans="1:8">
      <c r="A348" s="231" t="s">
        <v>3660</v>
      </c>
      <c r="B348" s="207">
        <f>D34</f>
        <v>99270000</v>
      </c>
    </row>
    <row r="349" spans="1:8">
      <c r="A349" s="231" t="s">
        <v>3661</v>
      </c>
      <c r="B349" s="207">
        <f>D45</f>
        <v>25080000</v>
      </c>
    </row>
    <row r="350" spans="1:8">
      <c r="A350" s="231" t="s">
        <v>3662</v>
      </c>
      <c r="B350" s="207">
        <f>D69</f>
        <v>8000000</v>
      </c>
    </row>
    <row r="351" spans="1:8">
      <c r="A351" s="231" t="s">
        <v>3663</v>
      </c>
      <c r="B351" s="207">
        <f>D92</f>
        <v>26900000</v>
      </c>
    </row>
    <row r="352" spans="1:8">
      <c r="A352" s="231" t="s">
        <v>3664</v>
      </c>
      <c r="B352" s="207">
        <f>D106</f>
        <v>38030000</v>
      </c>
    </row>
    <row r="353" spans="1:2">
      <c r="A353" s="231" t="s">
        <v>3665</v>
      </c>
      <c r="B353" s="207">
        <f>D124</f>
        <v>104100000</v>
      </c>
    </row>
    <row r="354" spans="1:2">
      <c r="A354" s="231" t="s">
        <v>3666</v>
      </c>
      <c r="B354" s="207">
        <f>D148</f>
        <v>76150000</v>
      </c>
    </row>
    <row r="355" spans="1:2">
      <c r="A355" s="231" t="s">
        <v>3667</v>
      </c>
      <c r="B355" s="207">
        <f>D170</f>
        <v>66000000</v>
      </c>
    </row>
    <row r="356" spans="1:2">
      <c r="A356" s="231" t="s">
        <v>3668</v>
      </c>
      <c r="B356" s="207">
        <f>D192</f>
        <v>22500000</v>
      </c>
    </row>
    <row r="357" spans="1:2">
      <c r="A357" s="231" t="s">
        <v>3669</v>
      </c>
      <c r="B357" s="207">
        <f>D214</f>
        <v>58710000</v>
      </c>
    </row>
    <row r="358" spans="1:2">
      <c r="A358" s="231" t="s">
        <v>3670</v>
      </c>
      <c r="B358" s="207">
        <f>D243</f>
        <v>14000000</v>
      </c>
    </row>
    <row r="359" spans="1:2">
      <c r="A359" s="231" t="s">
        <v>3671</v>
      </c>
      <c r="B359" s="207">
        <f>D267</f>
        <v>30400000</v>
      </c>
    </row>
    <row r="360" spans="1:2">
      <c r="A360" s="231" t="s">
        <v>3672</v>
      </c>
      <c r="B360" s="207">
        <f>D294</f>
        <v>57460000</v>
      </c>
    </row>
    <row r="361" spans="1:2">
      <c r="A361" s="231" t="s">
        <v>3673</v>
      </c>
      <c r="B361" s="207">
        <f>D319</f>
        <v>160880000</v>
      </c>
    </row>
  </sheetData>
  <mergeCells count="9">
    <mergeCell ref="F2:F3"/>
    <mergeCell ref="G2:G3"/>
    <mergeCell ref="H2:H3"/>
    <mergeCell ref="A1:H1"/>
    <mergeCell ref="A341:B341"/>
    <mergeCell ref="A2:B2"/>
    <mergeCell ref="C2:C3"/>
    <mergeCell ref="D2:D3"/>
    <mergeCell ref="E2:E3"/>
  </mergeCells>
  <conditionalFormatting sqref="D342:G342">
    <cfRule type="cellIs" dxfId="1" priority="1" operator="notEqual">
      <formula>0</formula>
    </cfRule>
  </conditionalFormatting>
  <dataValidations count="1">
    <dataValidation type="whole" errorStyle="warning" operator="equal" allowBlank="1" showInputMessage="1" showErrorMessage="1" errorTitle="Упозорење" error="Дошло је до грешке приликом повлачења података у шиту &quot;Програмска&quot;, пажљиво проверите збир" sqref="D342">
      <formula1>M344</formula1>
    </dataValidation>
  </dataValidations>
  <pageMargins left="0.28000000000000003" right="0.70866141732283472" top="0.74803149606299213" bottom="0.74803149606299213" header="0.31496062992125984" footer="0.31496062992125984"/>
  <pageSetup orientation="landscape" r:id="rId1"/>
  <cellWatches>
    <cellWatch r="D342"/>
  </cellWatches>
  <drawing r:id="rId2"/>
</worksheet>
</file>

<file path=xl/worksheets/sheet7.xml><?xml version="1.0" encoding="utf-8"?>
<worksheet xmlns="http://schemas.openxmlformats.org/spreadsheetml/2006/main" xmlns:r="http://schemas.openxmlformats.org/officeDocument/2006/relationships">
  <sheetPr>
    <tabColor theme="0"/>
  </sheetPr>
  <dimension ref="A1:F87"/>
  <sheetViews>
    <sheetView workbookViewId="0">
      <selection activeCell="I55" sqref="I55"/>
    </sheetView>
  </sheetViews>
  <sheetFormatPr defaultRowHeight="15"/>
  <cols>
    <col min="1" max="1" width="8.7109375" style="88" customWidth="1"/>
    <col min="2" max="2" width="46.5703125" style="88" customWidth="1"/>
    <col min="3" max="3" width="15.85546875" style="88" customWidth="1"/>
    <col min="4" max="4" width="9.140625" style="88"/>
    <col min="5" max="5" width="14.85546875" style="88" customWidth="1"/>
    <col min="6" max="6" width="13.28515625" style="88" customWidth="1"/>
    <col min="7" max="16384" width="9.140625" style="88"/>
  </cols>
  <sheetData>
    <row r="1" spans="1:6" ht="15" customHeight="1">
      <c r="A1" s="1173" t="s">
        <v>3858</v>
      </c>
      <c r="B1" s="1173"/>
      <c r="C1" s="1173"/>
      <c r="D1" s="1173"/>
      <c r="E1" s="1173"/>
      <c r="F1" s="1173"/>
    </row>
    <row r="2" spans="1:6" ht="29.25" customHeight="1">
      <c r="A2" s="255" t="s">
        <v>3859</v>
      </c>
      <c r="B2" s="255" t="s">
        <v>3860</v>
      </c>
      <c r="C2" s="256" t="s">
        <v>23</v>
      </c>
      <c r="D2" s="256" t="s">
        <v>3753</v>
      </c>
      <c r="E2" s="256" t="s">
        <v>4567</v>
      </c>
      <c r="F2" s="256" t="s">
        <v>4015</v>
      </c>
    </row>
    <row r="3" spans="1:6">
      <c r="A3" s="253" t="s">
        <v>3755</v>
      </c>
      <c r="B3" s="254">
        <v>2</v>
      </c>
      <c r="C3" s="204">
        <v>3</v>
      </c>
      <c r="D3" s="204">
        <v>4</v>
      </c>
      <c r="E3" s="204">
        <v>5</v>
      </c>
      <c r="F3" s="204">
        <v>6</v>
      </c>
    </row>
    <row r="4" spans="1:6">
      <c r="A4" s="98" t="s">
        <v>3861</v>
      </c>
      <c r="B4" s="99" t="s">
        <v>93</v>
      </c>
      <c r="C4" s="414">
        <f>SUM(C5:C13)</f>
        <v>58710000</v>
      </c>
      <c r="D4" s="415">
        <f t="shared" ref="D4:D36" si="0">IFERROR(C4/$C$86,"-")</f>
        <v>7.1948529411764703E-2</v>
      </c>
      <c r="E4" s="414">
        <f>SUM(E5:E13)</f>
        <v>6000000</v>
      </c>
      <c r="F4" s="414">
        <f>SUM(F5:F13)</f>
        <v>64710000</v>
      </c>
    </row>
    <row r="5" spans="1:6" hidden="1">
      <c r="A5" s="97" t="s">
        <v>3862</v>
      </c>
      <c r="B5" s="100" t="s">
        <v>3863</v>
      </c>
      <c r="C5" s="416">
        <f>SUMIF('ПО КОРИСНИЦИМА'!$D$3:$D$547,A5,'ПО КОРИСНИЦИМА'!$H$3:$H$547)</f>
        <v>0</v>
      </c>
      <c r="D5" s="416">
        <f t="shared" si="0"/>
        <v>0</v>
      </c>
      <c r="E5" s="416">
        <f>SUMIF('ПО КОРИСНИЦИМА'!$D$3:$D$547,A5,'ПО КОРИСНИЦИМА'!$I$3:$I$547)</f>
        <v>0</v>
      </c>
      <c r="F5" s="416">
        <f>SUM(E5,C5)</f>
        <v>0</v>
      </c>
    </row>
    <row r="6" spans="1:6" hidden="1">
      <c r="A6" s="97" t="s">
        <v>3864</v>
      </c>
      <c r="B6" s="100" t="s">
        <v>3865</v>
      </c>
      <c r="C6" s="416">
        <f>SUMIF('ПО КОРИСНИЦИМА'!$D$3:$D$547,A6,'ПО КОРИСНИЦИМА'!$H$3:$H$547)</f>
        <v>0</v>
      </c>
      <c r="D6" s="416">
        <f t="shared" si="0"/>
        <v>0</v>
      </c>
      <c r="E6" s="416">
        <f>SUMIF('ПО КОРИСНИЦИМА'!$D$3:$D$547,A6,'ПО КОРИСНИЦИМА'!$I$3:$I$547)</f>
        <v>0</v>
      </c>
      <c r="F6" s="416">
        <f t="shared" ref="F6:F52" si="1">SUM(E6,C6)</f>
        <v>0</v>
      </c>
    </row>
    <row r="7" spans="1:6" hidden="1">
      <c r="A7" s="97" t="s">
        <v>3866</v>
      </c>
      <c r="B7" s="100" t="s">
        <v>3867</v>
      </c>
      <c r="C7" s="416">
        <f>SUMIF('ПО КОРИСНИЦИМА'!$D$3:$D$547,A7,'ПО КОРИСНИЦИМА'!$H$3:$H$547)</f>
        <v>0</v>
      </c>
      <c r="D7" s="416">
        <f t="shared" si="0"/>
        <v>0</v>
      </c>
      <c r="E7" s="416">
        <f>SUMIF('ПО КОРИСНИЦИМА'!$D$3:$D$547,A7,'ПО КОРИСНИЦИМА'!$I$3:$I$547)</f>
        <v>0</v>
      </c>
      <c r="F7" s="416">
        <f t="shared" si="1"/>
        <v>0</v>
      </c>
    </row>
    <row r="8" spans="1:6">
      <c r="A8" s="97" t="s">
        <v>3868</v>
      </c>
      <c r="B8" s="100" t="s">
        <v>3869</v>
      </c>
      <c r="C8" s="416">
        <f>SUMIF('ПО КОРИСНИЦИМА'!$D$3:$D$547,A8,'ПО КОРИСНИЦИМА'!$H$3:$H$547)</f>
        <v>31060000</v>
      </c>
      <c r="D8" s="416">
        <f t="shared" si="0"/>
        <v>3.8063725490196078E-2</v>
      </c>
      <c r="E8" s="416">
        <f>SUMIF('ПО КОРИСНИЦИМА'!$D$3:$D$547,A8,'ПО КОРИСНИЦИМА'!$I$3:$I$547)</f>
        <v>0</v>
      </c>
      <c r="F8" s="416">
        <f t="shared" si="1"/>
        <v>31060000</v>
      </c>
    </row>
    <row r="9" spans="1:6" hidden="1">
      <c r="A9" s="97" t="s">
        <v>3870</v>
      </c>
      <c r="B9" s="100" t="s">
        <v>3871</v>
      </c>
      <c r="C9" s="416">
        <f>SUMIF('ПО КОРИСНИЦИМА'!$D$3:$D$547,A9,'ПО КОРИСНИЦИМА'!$H$3:$H$547)</f>
        <v>0</v>
      </c>
      <c r="D9" s="416">
        <f t="shared" si="0"/>
        <v>0</v>
      </c>
      <c r="E9" s="416">
        <f>SUMIF('ПО КОРИСНИЦИМА'!$D$3:$D$547,A9,'ПО КОРИСНИЦИМА'!$I$3:$I$547)</f>
        <v>0</v>
      </c>
      <c r="F9" s="416">
        <f t="shared" si="1"/>
        <v>0</v>
      </c>
    </row>
    <row r="10" spans="1:6" hidden="1">
      <c r="A10" s="97" t="s">
        <v>3872</v>
      </c>
      <c r="B10" s="100" t="s">
        <v>3873</v>
      </c>
      <c r="C10" s="416">
        <f>SUMIF('ПО КОРИСНИЦИМА'!$D$3:$D$547,A10,'ПО КОРИСНИЦИМА'!$H$3:$H$547)</f>
        <v>0</v>
      </c>
      <c r="D10" s="416">
        <f t="shared" si="0"/>
        <v>0</v>
      </c>
      <c r="E10" s="416">
        <f>SUMIF('ПО КОРИСНИЦИМА'!$D$3:$D$547,A10,'ПО КОРИСНИЦИМА'!$I$3:$I$547)</f>
        <v>0</v>
      </c>
      <c r="F10" s="416">
        <f t="shared" si="1"/>
        <v>0</v>
      </c>
    </row>
    <row r="11" spans="1:6" ht="22.5">
      <c r="A11" s="97" t="s">
        <v>3874</v>
      </c>
      <c r="B11" s="100" t="s">
        <v>3875</v>
      </c>
      <c r="C11" s="416">
        <f>SUMIF('ПО КОРИСНИЦИМА'!$D$3:$D$547,A11,'ПО КОРИСНИЦИМА'!$H$3:$H$547)</f>
        <v>19300000</v>
      </c>
      <c r="D11" s="416">
        <f t="shared" si="0"/>
        <v>2.3651960784313725E-2</v>
      </c>
      <c r="E11" s="416">
        <f>SUMIF('ПО КОРИСНИЦИМА'!$D$3:$D$547,A11,'ПО КОРИСНИЦИМА'!$I$3:$I$547)</f>
        <v>6000000</v>
      </c>
      <c r="F11" s="416">
        <f t="shared" si="1"/>
        <v>25300000</v>
      </c>
    </row>
    <row r="12" spans="1:6" hidden="1">
      <c r="A12" s="97" t="s">
        <v>3876</v>
      </c>
      <c r="B12" s="100" t="s">
        <v>3877</v>
      </c>
      <c r="C12" s="416">
        <f>SUMIF('ПО КОРИСНИЦИМА'!$D$3:$D$547,A12,'ПО КОРИСНИЦИМА'!$H$3:$H$547)</f>
        <v>0</v>
      </c>
      <c r="D12" s="416">
        <f t="shared" si="0"/>
        <v>0</v>
      </c>
      <c r="E12" s="416">
        <f>SUMIF('ПО КОРИСНИЦИМА'!$D$3:$D$547,A12,'ПО КОРИСНИЦИМА'!$I$3:$I$547)</f>
        <v>0</v>
      </c>
      <c r="F12" s="416">
        <f t="shared" si="1"/>
        <v>0</v>
      </c>
    </row>
    <row r="13" spans="1:6">
      <c r="A13" s="97" t="s">
        <v>3878</v>
      </c>
      <c r="B13" s="100" t="s">
        <v>102</v>
      </c>
      <c r="C13" s="416">
        <f>SUMIF('ПО КОРИСНИЦИМА'!$D$3:$D$547,A13,'ПО КОРИСНИЦИМА'!$H$3:$H$547)</f>
        <v>8350000</v>
      </c>
      <c r="D13" s="416">
        <f t="shared" si="0"/>
        <v>1.0232843137254902E-2</v>
      </c>
      <c r="E13" s="416">
        <f>SUMIF('ПО КОРИСНИЦИМА'!$D$3:$D$547,A13,'ПО КОРИСНИЦИМА'!$I$3:$I$547)</f>
        <v>0</v>
      </c>
      <c r="F13" s="416">
        <f t="shared" si="1"/>
        <v>8350000</v>
      </c>
    </row>
    <row r="14" spans="1:6">
      <c r="A14" s="101" t="s">
        <v>3879</v>
      </c>
      <c r="B14" s="102" t="s">
        <v>103</v>
      </c>
      <c r="C14" s="414">
        <f>SUM(C15:C30)</f>
        <v>186300000</v>
      </c>
      <c r="D14" s="414">
        <f t="shared" si="0"/>
        <v>0.22830882352941176</v>
      </c>
      <c r="E14" s="414">
        <f>SUM(E15:E30)</f>
        <v>35000000</v>
      </c>
      <c r="F14" s="414">
        <f>C14+E14</f>
        <v>221300000</v>
      </c>
    </row>
    <row r="15" spans="1:6" ht="23.25" hidden="1">
      <c r="A15" s="103" t="s">
        <v>3880</v>
      </c>
      <c r="B15" s="104" t="s">
        <v>3881</v>
      </c>
      <c r="C15" s="416">
        <f>SUMIF('ПО КОРИСНИЦИМА'!$D$3:$D$547,A15,'ПО КОРИСНИЦИМА'!$H$3:$H$547)</f>
        <v>0</v>
      </c>
      <c r="D15" s="416">
        <f t="shared" si="0"/>
        <v>0</v>
      </c>
      <c r="E15" s="416">
        <f>SUMIF('ПО КОРИСНИЦИМА'!$D$3:$D$547,A15,'ПО КОРИСНИЦИМА'!$I$3:$I$547)</f>
        <v>0</v>
      </c>
      <c r="F15" s="416">
        <f t="shared" si="1"/>
        <v>0</v>
      </c>
    </row>
    <row r="16" spans="1:6">
      <c r="A16" s="105" t="s">
        <v>3882</v>
      </c>
      <c r="B16" s="104" t="s">
        <v>105</v>
      </c>
      <c r="C16" s="416">
        <f>SUMIF('ПО КОРИСНИЦИМА'!$D$3:$D$547,A16,'ПО КОРИСНИЦИМА'!$H$3:$H$547)</f>
        <v>15620000</v>
      </c>
      <c r="D16" s="416">
        <f t="shared" si="0"/>
        <v>1.9142156862745098E-2</v>
      </c>
      <c r="E16" s="416">
        <f>SUMIF('ПО КОРИСНИЦИМА'!$D$3:$D$547,A16,'ПО КОРИСНИЦИМА'!$I$3:$I$547)</f>
        <v>0</v>
      </c>
      <c r="F16" s="416">
        <f t="shared" si="1"/>
        <v>15620000</v>
      </c>
    </row>
    <row r="17" spans="1:6" hidden="1">
      <c r="A17" s="105" t="s">
        <v>3883</v>
      </c>
      <c r="B17" s="104" t="s">
        <v>106</v>
      </c>
      <c r="C17" s="416">
        <f>SUMIF('ПО КОРИСНИЦИМА'!$D$3:$D$547,A17,'ПО КОРИСНИЦИМА'!$H$3:$H$547)</f>
        <v>0</v>
      </c>
      <c r="D17" s="416">
        <f t="shared" si="0"/>
        <v>0</v>
      </c>
      <c r="E17" s="416">
        <f>SUMIF('ПО КОРИСНИЦИМА'!$D$3:$D$547,A17,'ПО КОРИСНИЦИМА'!$I$3:$I$547)</f>
        <v>0</v>
      </c>
      <c r="F17" s="416">
        <f t="shared" si="1"/>
        <v>0</v>
      </c>
    </row>
    <row r="18" spans="1:6" hidden="1">
      <c r="A18" s="105" t="s">
        <v>3884</v>
      </c>
      <c r="B18" s="104" t="s">
        <v>107</v>
      </c>
      <c r="C18" s="416">
        <f>SUMIF('ПО КОРИСНИЦИМА'!$D$3:$D$547,A18,'ПО КОРИСНИЦИМА'!$H$3:$H$547)</f>
        <v>0</v>
      </c>
      <c r="D18" s="416">
        <f t="shared" si="0"/>
        <v>0</v>
      </c>
      <c r="E18" s="416">
        <f>SUMIF('ПО КОРИСНИЦИМА'!$D$3:$D$547,A18,'ПО КОРИСНИЦИМА'!$I$3:$I$547)</f>
        <v>0</v>
      </c>
      <c r="F18" s="416">
        <f t="shared" si="1"/>
        <v>0</v>
      </c>
    </row>
    <row r="19" spans="1:6" hidden="1">
      <c r="A19" s="103" t="s">
        <v>3885</v>
      </c>
      <c r="B19" s="104" t="s">
        <v>3886</v>
      </c>
      <c r="C19" s="416">
        <f>SUMIF('ПО КОРИСНИЦИМА'!$D$3:$D$547,A19,'ПО КОРИСНИЦИМА'!$H$3:$H$547)</f>
        <v>0</v>
      </c>
      <c r="D19" s="416">
        <f t="shared" si="0"/>
        <v>0</v>
      </c>
      <c r="E19" s="416">
        <f>SUMIF('ПО КОРИСНИЦИМА'!$D$3:$D$547,A19,'ПО КОРИСНИЦИМА'!$I$3:$I$547)</f>
        <v>0</v>
      </c>
      <c r="F19" s="416">
        <f t="shared" si="1"/>
        <v>0</v>
      </c>
    </row>
    <row r="20" spans="1:6" hidden="1">
      <c r="A20" s="105" t="s">
        <v>3887</v>
      </c>
      <c r="B20" s="104" t="s">
        <v>109</v>
      </c>
      <c r="C20" s="416">
        <f>SUMIF('ПО КОРИСНИЦИМА'!$D$3:$D$547,A20,'ПО КОРИСНИЦИМА'!$H$3:$H$547)</f>
        <v>0</v>
      </c>
      <c r="D20" s="416">
        <f t="shared" si="0"/>
        <v>0</v>
      </c>
      <c r="E20" s="416">
        <f>SUMIF('ПО КОРИСНИЦИМА'!$D$3:$D$547,A20,'ПО КОРИСНИЦИМА'!$I$3:$I$547)</f>
        <v>0</v>
      </c>
      <c r="F20" s="416">
        <f t="shared" si="1"/>
        <v>0</v>
      </c>
    </row>
    <row r="21" spans="1:6" hidden="1">
      <c r="A21" s="105" t="s">
        <v>3888</v>
      </c>
      <c r="B21" s="104" t="s">
        <v>110</v>
      </c>
      <c r="C21" s="416">
        <f>SUMIF('ПО КОРИСНИЦИМА'!$D$3:$D$547,A21,'ПО КОРИСНИЦИМА'!$H$3:$H$547)</f>
        <v>0</v>
      </c>
      <c r="D21" s="416">
        <f t="shared" si="0"/>
        <v>0</v>
      </c>
      <c r="E21" s="416">
        <f>SUMIF('ПО КОРИСНИЦИМА'!$D$3:$D$547,A21,'ПО КОРИСНИЦИМА'!$I$3:$I$547)</f>
        <v>0</v>
      </c>
      <c r="F21" s="416">
        <f t="shared" si="1"/>
        <v>0</v>
      </c>
    </row>
    <row r="22" spans="1:6" hidden="1">
      <c r="A22" s="103" t="s">
        <v>3889</v>
      </c>
      <c r="B22" s="104" t="s">
        <v>3890</v>
      </c>
      <c r="C22" s="416">
        <f>SUMIF('ПО КОРИСНИЦИМА'!$D$3:$D$547,A22,'ПО КОРИСНИЦИМА'!$H$3:$H$547)</f>
        <v>0</v>
      </c>
      <c r="D22" s="416">
        <f t="shared" si="0"/>
        <v>0</v>
      </c>
      <c r="E22" s="416">
        <f>SUMIF('ПО КОРИСНИЦИМА'!$D$3:$D$547,A22,'ПО КОРИСНИЦИМА'!$I$3:$I$547)</f>
        <v>0</v>
      </c>
      <c r="F22" s="416">
        <f t="shared" si="1"/>
        <v>0</v>
      </c>
    </row>
    <row r="23" spans="1:6">
      <c r="A23" s="105" t="s">
        <v>3891</v>
      </c>
      <c r="B23" s="104" t="s">
        <v>112</v>
      </c>
      <c r="C23" s="416">
        <f>SUMIF('ПО КОРИСНИЦИМА'!$D$3:$D$547,A23,'ПО КОРИСНИЦИМА'!$H$3:$H$547)</f>
        <v>169050000</v>
      </c>
      <c r="D23" s="416">
        <f t="shared" si="0"/>
        <v>0.20716911764705884</v>
      </c>
      <c r="E23" s="416">
        <f>SUMIF('ПО КОРИСНИЦИМА'!$D$3:$D$547,A23,'ПО КОРИСНИЦИМА'!$I$3:$I$547)</f>
        <v>35000000</v>
      </c>
      <c r="F23" s="416">
        <f t="shared" si="1"/>
        <v>204050000</v>
      </c>
    </row>
    <row r="24" spans="1:6" hidden="1">
      <c r="A24" s="105" t="s">
        <v>3892</v>
      </c>
      <c r="B24" s="104" t="s">
        <v>113</v>
      </c>
      <c r="C24" s="416">
        <f>SUMIF('ПО КОРИСНИЦИМА'!$D$3:$D$547,A24,'ПО КОРИСНИЦИМА'!$H$3:$H$547)</f>
        <v>0</v>
      </c>
      <c r="D24" s="416">
        <f t="shared" si="0"/>
        <v>0</v>
      </c>
      <c r="E24" s="416">
        <f>SUMIF('ПО КОРИСНИЦИМА'!$D$3:$D$547,A24,'ПО КОРИСНИЦИМА'!$I$3:$I$547)</f>
        <v>0</v>
      </c>
      <c r="F24" s="416">
        <f t="shared" si="1"/>
        <v>0</v>
      </c>
    </row>
    <row r="25" spans="1:6">
      <c r="A25" s="105" t="s">
        <v>3893</v>
      </c>
      <c r="B25" s="104" t="s">
        <v>114</v>
      </c>
      <c r="C25" s="416">
        <f>SUMIF('ПО КОРИСНИЦИМА'!$D$3:$D$547,A25,'ПО КОРИСНИЦИМА'!$H$3:$H$547)</f>
        <v>0</v>
      </c>
      <c r="D25" s="416">
        <f t="shared" si="0"/>
        <v>0</v>
      </c>
      <c r="E25" s="416">
        <f>SUMIF('ПО КОРИСНИЦИМА'!$D$3:$D$547,A25,'ПО КОРИСНИЦИМА'!$I$3:$I$547)</f>
        <v>0</v>
      </c>
      <c r="F25" s="416">
        <f t="shared" si="1"/>
        <v>0</v>
      </c>
    </row>
    <row r="26" spans="1:6" hidden="1">
      <c r="A26" s="103" t="s">
        <v>3894</v>
      </c>
      <c r="B26" s="104" t="s">
        <v>3895</v>
      </c>
      <c r="C26" s="416">
        <f>SUMIF('ПО КОРИСНИЦИМА'!$D$3:$D$547,A26,'ПО КОРИСНИЦИМА'!$H$3:$H$547)</f>
        <v>0</v>
      </c>
      <c r="D26" s="416">
        <f t="shared" si="0"/>
        <v>0</v>
      </c>
      <c r="E26" s="416">
        <f>SUMIF('ПО КОРИСНИЦИМА'!$D$3:$D$547,A26,'ПО КОРИСНИЦИМА'!$I$3:$I$547)</f>
        <v>0</v>
      </c>
      <c r="F26" s="416">
        <f t="shared" si="1"/>
        <v>0</v>
      </c>
    </row>
    <row r="27" spans="1:6" hidden="1">
      <c r="A27" s="103" t="s">
        <v>3896</v>
      </c>
      <c r="B27" s="104" t="s">
        <v>3897</v>
      </c>
      <c r="C27" s="416">
        <f>SUMIF('ПО КОРИСНИЦИМА'!$D$3:$D$547,A27,'ПО КОРИСНИЦИМА'!$H$3:$H$547)</f>
        <v>0</v>
      </c>
      <c r="D27" s="416">
        <f t="shared" si="0"/>
        <v>0</v>
      </c>
      <c r="E27" s="416">
        <f>SUMIF('ПО КОРИСНИЦИМА'!$D$3:$D$547,A27,'ПО КОРИСНИЦИМА'!$I$3:$I$547)</f>
        <v>0</v>
      </c>
      <c r="F27" s="416">
        <f t="shared" si="1"/>
        <v>0</v>
      </c>
    </row>
    <row r="28" spans="1:6">
      <c r="A28" s="103" t="s">
        <v>3898</v>
      </c>
      <c r="B28" s="104" t="s">
        <v>3899</v>
      </c>
      <c r="C28" s="416">
        <f>SUMIF('ПО КОРИСНИЦИМА'!$D$3:$D$547,A28,'ПО КОРИСНИЦИМА'!$H$3:$H$547)</f>
        <v>1630000</v>
      </c>
      <c r="D28" s="416">
        <f t="shared" si="0"/>
        <v>1.9975490196078431E-3</v>
      </c>
      <c r="E28" s="416">
        <f>SUMIF('ПО КОРИСНИЦИМА'!$D$3:$D$547,A28,'ПО КОРИСНИЦИМА'!$I$3:$I$547)</f>
        <v>0</v>
      </c>
      <c r="F28" s="416">
        <f t="shared" si="1"/>
        <v>1630000</v>
      </c>
    </row>
    <row r="29" spans="1:6" hidden="1">
      <c r="A29" s="103" t="s">
        <v>3900</v>
      </c>
      <c r="B29" s="104" t="s">
        <v>3901</v>
      </c>
      <c r="C29" s="416">
        <f>SUMIF('ПО КОРИСНИЦИМА'!$D$3:$D$547,A29,'ПО КОРИСНИЦИМА'!$H$3:$H$547)</f>
        <v>0</v>
      </c>
      <c r="D29" s="416">
        <f t="shared" si="0"/>
        <v>0</v>
      </c>
      <c r="E29" s="416">
        <f>SUMIF('ПО КОРИСНИЦИМА'!$D$3:$D$547,A29,'ПО КОРИСНИЦИМА'!$I$3:$I$547)</f>
        <v>0</v>
      </c>
      <c r="F29" s="416">
        <f t="shared" si="1"/>
        <v>0</v>
      </c>
    </row>
    <row r="30" spans="1:6" hidden="1">
      <c r="A30" s="103" t="s">
        <v>3902</v>
      </c>
      <c r="B30" s="104" t="s">
        <v>119</v>
      </c>
      <c r="C30" s="416">
        <f>SUMIF('ПО КОРИСНИЦИМА'!$D$3:$D$547,A30,'ПО КОРИСНИЦИМА'!$H$3:$H$547)</f>
        <v>0</v>
      </c>
      <c r="D30" s="416">
        <f t="shared" si="0"/>
        <v>0</v>
      </c>
      <c r="E30" s="416">
        <f>SUMIF('ПО КОРИСНИЦИМА'!$D$3:$D$547,A30,'ПО КОРИСНИЦИМА'!$I$3:$I$547)</f>
        <v>0</v>
      </c>
      <c r="F30" s="416">
        <f t="shared" si="1"/>
        <v>0</v>
      </c>
    </row>
    <row r="31" spans="1:6">
      <c r="A31" s="101" t="s">
        <v>3903</v>
      </c>
      <c r="B31" s="106" t="s">
        <v>126</v>
      </c>
      <c r="C31" s="414">
        <f>SUM(C32:C34)</f>
        <v>3100000</v>
      </c>
      <c r="D31" s="414">
        <f t="shared" si="0"/>
        <v>3.7990196078431372E-3</v>
      </c>
      <c r="E31" s="414">
        <f>SUM(E32:E34)</f>
        <v>0</v>
      </c>
      <c r="F31" s="414">
        <f>C31+E31</f>
        <v>3100000</v>
      </c>
    </row>
    <row r="32" spans="1:6" hidden="1">
      <c r="A32" s="103" t="s">
        <v>3904</v>
      </c>
      <c r="B32" s="104" t="s">
        <v>3905</v>
      </c>
      <c r="C32" s="416">
        <f>SUMIF('ПО КОРИСНИЦИМА'!$D$3:$D$547,A32,'ПО КОРИСНИЦИМА'!$H$3:$H$547)</f>
        <v>0</v>
      </c>
      <c r="D32" s="416">
        <f t="shared" si="0"/>
        <v>0</v>
      </c>
      <c r="E32" s="416">
        <f>SUMIF('ПО КОРИСНИЦИМА'!$D$3:$D$547,A32,'ПО КОРИСНИЦИМА'!$I$3:$I$547)</f>
        <v>0</v>
      </c>
      <c r="F32" s="416">
        <f t="shared" si="1"/>
        <v>0</v>
      </c>
    </row>
    <row r="33" spans="1:6" hidden="1">
      <c r="A33" s="103" t="s">
        <v>3906</v>
      </c>
      <c r="B33" s="104" t="s">
        <v>3907</v>
      </c>
      <c r="C33" s="416">
        <f>SUMIF('ПО КОРИСНИЦИМА'!$D$3:$D$547,A33,'ПО КОРИСНИЦИМА'!$H$3:$H$547)</f>
        <v>0</v>
      </c>
      <c r="D33" s="416">
        <f t="shared" si="0"/>
        <v>0</v>
      </c>
      <c r="E33" s="416">
        <f>SUMIF('ПО КОРИСНИЦИМА'!$D$3:$D$547,A33,'ПО КОРИСНИЦИМА'!$I$3:$I$547)</f>
        <v>0</v>
      </c>
      <c r="F33" s="416">
        <f t="shared" si="1"/>
        <v>0</v>
      </c>
    </row>
    <row r="34" spans="1:6">
      <c r="A34" s="103" t="s">
        <v>4390</v>
      </c>
      <c r="B34" s="104" t="s">
        <v>129</v>
      </c>
      <c r="C34" s="416">
        <f>SUMIF('ПО КОРИСНИЦИМА'!$D$3:$D$547,A34,'ПО КОРИСНИЦИМА'!$H$3:$H$547)</f>
        <v>3100000</v>
      </c>
      <c r="D34" s="416">
        <f>IFERROR(C34/$C$86,"-")</f>
        <v>3.7990196078431372E-3</v>
      </c>
      <c r="E34" s="416">
        <f>SUMIF('ПО КОРИСНИЦИМА'!$D$3:$D$547,A34,'ПО КОРИСНИЦИМА'!$I$3:$I$547)</f>
        <v>0</v>
      </c>
      <c r="F34" s="416">
        <f>SUM(E34,C34)</f>
        <v>3100000</v>
      </c>
    </row>
    <row r="35" spans="1:6">
      <c r="A35" s="101" t="s">
        <v>3908</v>
      </c>
      <c r="B35" s="102" t="s">
        <v>132</v>
      </c>
      <c r="C35" s="414">
        <f>C40+C45+C50</f>
        <v>139000000</v>
      </c>
      <c r="D35" s="414">
        <f t="shared" si="0"/>
        <v>0.17034313725490197</v>
      </c>
      <c r="E35" s="414">
        <f>SUM(E36:E42)</f>
        <v>1000000</v>
      </c>
      <c r="F35" s="414">
        <f>C35+E35</f>
        <v>140000000</v>
      </c>
    </row>
    <row r="36" spans="1:6" ht="23.25" hidden="1">
      <c r="A36" s="103" t="s">
        <v>3756</v>
      </c>
      <c r="B36" s="107" t="s">
        <v>3909</v>
      </c>
      <c r="C36" s="416">
        <f>SUMIF('ПО КОРИСНИЦИМА'!$D$3:$D$547,A36,'ПО КОРИСНИЦИМА'!$H$3:$H$547)</f>
        <v>0</v>
      </c>
      <c r="D36" s="416">
        <f t="shared" si="0"/>
        <v>0</v>
      </c>
      <c r="E36" s="416">
        <f>SUMIF('ПО КОРИСНИЦИМА'!$D$3:$D$547,A36,'ПО КОРИСНИЦИМА'!$I$3:$I$547)</f>
        <v>0</v>
      </c>
      <c r="F36" s="416">
        <f t="shared" si="1"/>
        <v>0</v>
      </c>
    </row>
    <row r="37" spans="1:6" hidden="1">
      <c r="A37" s="105" t="s">
        <v>3910</v>
      </c>
      <c r="B37" s="107" t="s">
        <v>134</v>
      </c>
      <c r="C37" s="416">
        <f>SUMIF('ПО КОРИСНИЦИМА'!$D$3:$D$547,A37,'ПО КОРИСНИЦИМА'!$H$3:$H$547)</f>
        <v>0</v>
      </c>
      <c r="D37" s="416">
        <f t="shared" ref="D37:D72" si="2">IFERROR(C37/$C$86,"-")</f>
        <v>0</v>
      </c>
      <c r="E37" s="416">
        <f>SUMIF('ПО КОРИСНИЦИМА'!$D$3:$D$547,A37,'ПО КОРИСНИЦИМА'!$I$3:$I$547)</f>
        <v>0</v>
      </c>
      <c r="F37" s="416">
        <f t="shared" si="1"/>
        <v>0</v>
      </c>
    </row>
    <row r="38" spans="1:6" hidden="1">
      <c r="A38" s="105" t="s">
        <v>3911</v>
      </c>
      <c r="B38" s="107" t="s">
        <v>135</v>
      </c>
      <c r="C38" s="416">
        <f>SUMIF('ПО КОРИСНИЦИМА'!$D$3:$D$547,A38,'ПО КОРИСНИЦИМА'!$H$3:$H$547)</f>
        <v>0</v>
      </c>
      <c r="D38" s="416">
        <f t="shared" si="2"/>
        <v>0</v>
      </c>
      <c r="E38" s="416">
        <f>SUMIF('ПО КОРИСНИЦИМА'!$D$3:$D$547,A38,'ПО КОРИСНИЦИМА'!$I$3:$I$547)</f>
        <v>0</v>
      </c>
      <c r="F38" s="416">
        <f t="shared" si="1"/>
        <v>0</v>
      </c>
    </row>
    <row r="39" spans="1:6" hidden="1">
      <c r="A39" s="103" t="s">
        <v>3769</v>
      </c>
      <c r="B39" s="104" t="s">
        <v>3912</v>
      </c>
      <c r="C39" s="416">
        <f>SUMIF('ПО КОРИСНИЦИМА'!$D$3:$D$547,A39,'ПО КОРИСНИЦИМА'!$H$3:$H$547)</f>
        <v>0</v>
      </c>
      <c r="D39" s="416">
        <f t="shared" si="2"/>
        <v>0</v>
      </c>
      <c r="E39" s="416">
        <f>SUMIF('ПО КОРИСНИЦИМА'!$D$3:$D$547,A39,'ПО КОРИСНИЦИМА'!$I$3:$I$547)</f>
        <v>0</v>
      </c>
      <c r="F39" s="416">
        <f t="shared" si="1"/>
        <v>0</v>
      </c>
    </row>
    <row r="40" spans="1:6">
      <c r="A40" s="105" t="s">
        <v>3771</v>
      </c>
      <c r="B40" s="104" t="s">
        <v>137</v>
      </c>
      <c r="C40" s="416">
        <f>SUMIF('ПО КОРИСНИЦИМА'!$D$3:$D$547,A40,'ПО КОРИСНИЦИМА'!$H$3:$H$547)</f>
        <v>26900000</v>
      </c>
      <c r="D40" s="416">
        <f t="shared" si="2"/>
        <v>3.2965686274509805E-2</v>
      </c>
      <c r="E40" s="416">
        <f>SUMIF('ПО КОРИСНИЦИМА'!$D$3:$D$547,A40,'ПО КОРИСНИЦИМА'!$I$3:$I$547)</f>
        <v>1000000</v>
      </c>
      <c r="F40" s="416">
        <f t="shared" si="1"/>
        <v>27900000</v>
      </c>
    </row>
    <row r="41" spans="1:6" hidden="1">
      <c r="A41" s="105" t="s">
        <v>3913</v>
      </c>
      <c r="B41" s="104" t="s">
        <v>138</v>
      </c>
      <c r="C41" s="416">
        <f>SUMIF('ПО КОРИСНИЦИМА'!$D$3:$D$547,A41,'ПО КОРИСНИЦИМА'!$H$3:$H$547)</f>
        <v>0</v>
      </c>
      <c r="D41" s="416">
        <f t="shared" si="2"/>
        <v>0</v>
      </c>
      <c r="E41" s="416">
        <f>SUMIF('ПО КОРИСНИЦИМА'!$D$3:$D$547,A41,'ПО КОРИСНИЦИМА'!$I$3:$I$547)</f>
        <v>0</v>
      </c>
      <c r="F41" s="416">
        <f t="shared" si="1"/>
        <v>0</v>
      </c>
    </row>
    <row r="42" spans="1:6" hidden="1">
      <c r="A42" s="105" t="s">
        <v>3914</v>
      </c>
      <c r="B42" s="104" t="s">
        <v>139</v>
      </c>
      <c r="C42" s="416">
        <f>SUMIF('ПО КОРИСНИЦИМА'!$D$3:$D$547,A42,'ПО КОРИСНИЦИМА'!$H$3:$H$547)</f>
        <v>0</v>
      </c>
      <c r="D42" s="416">
        <f t="shared" si="2"/>
        <v>0</v>
      </c>
      <c r="E42" s="416">
        <f>SUMIF('ПО КОРИСНИЦИМА'!$D$3:$D$547,A42,'ПО КОРИСНИЦИМА'!$I$3:$I$547)</f>
        <v>0</v>
      </c>
      <c r="F42" s="416">
        <f t="shared" si="1"/>
        <v>0</v>
      </c>
    </row>
    <row r="43" spans="1:6" hidden="1">
      <c r="A43" s="627" t="s">
        <v>3788</v>
      </c>
      <c r="B43" s="625" t="s">
        <v>4392</v>
      </c>
      <c r="C43" s="417">
        <f>C44</f>
        <v>0</v>
      </c>
      <c r="D43" s="624">
        <f t="shared" si="2"/>
        <v>0</v>
      </c>
      <c r="E43" s="417">
        <f>E44</f>
        <v>0</v>
      </c>
      <c r="F43" s="417">
        <f>C43+E43</f>
        <v>0</v>
      </c>
    </row>
    <row r="44" spans="1:6" hidden="1">
      <c r="A44" s="105" t="s">
        <v>4391</v>
      </c>
      <c r="B44" s="104" t="s">
        <v>150</v>
      </c>
      <c r="C44" s="416">
        <f>SUMIF('ПО КОРИСНИЦИМА'!$D$3:$D$547,A44,'ПО КОРИСНИЦИМА'!$H$3:$H$547)</f>
        <v>0</v>
      </c>
      <c r="D44" s="416">
        <f t="shared" si="2"/>
        <v>0</v>
      </c>
      <c r="E44" s="416">
        <f>SUMIF('ПО КОРИСНИЦИМА'!$D$3:$D$547,A44,'ПО КОРИСНИЦИМА'!$I$3:$I$547)</f>
        <v>0</v>
      </c>
      <c r="F44" s="416">
        <f>SUM(E44,C44)</f>
        <v>0</v>
      </c>
    </row>
    <row r="45" spans="1:6">
      <c r="A45" s="627" t="s">
        <v>3794</v>
      </c>
      <c r="B45" s="625" t="s">
        <v>3915</v>
      </c>
      <c r="C45" s="417">
        <f>C46+C47+C48+C49</f>
        <v>104100000</v>
      </c>
      <c r="D45" s="417">
        <f t="shared" si="2"/>
        <v>0.1275735294117647</v>
      </c>
      <c r="E45" s="417">
        <f>E46</f>
        <v>5500000</v>
      </c>
      <c r="F45" s="417">
        <f t="shared" si="1"/>
        <v>109600000</v>
      </c>
    </row>
    <row r="46" spans="1:6">
      <c r="A46" s="108" t="s">
        <v>3916</v>
      </c>
      <c r="B46" s="104" t="s">
        <v>152</v>
      </c>
      <c r="C46" s="416">
        <f>SUMIF('ПО КОРИСНИЦИМА'!$D$3:$D$547,A46,'ПО КОРИСНИЦИМА'!$H$3:$H$547)</f>
        <v>104100000</v>
      </c>
      <c r="D46" s="416">
        <f t="shared" si="2"/>
        <v>0.1275735294117647</v>
      </c>
      <c r="E46" s="416">
        <f>SUMIF('ПО КОРИСНИЦИМА'!$D$3:$D$547,A46,'ПО КОРИСНИЦИМА'!$I$3:$I$547)</f>
        <v>5500000</v>
      </c>
      <c r="F46" s="416">
        <f t="shared" si="1"/>
        <v>109600000</v>
      </c>
    </row>
    <row r="47" spans="1:6" hidden="1">
      <c r="A47" s="108" t="s">
        <v>3851</v>
      </c>
      <c r="B47" s="104" t="s">
        <v>153</v>
      </c>
      <c r="C47" s="416">
        <f>SUMIF('ПО КОРИСНИЦИМА'!$D$3:$D$547,A47,'ПО КОРИСНИЦИМА'!$H$3:$H$547)</f>
        <v>0</v>
      </c>
      <c r="D47" s="416">
        <f t="shared" si="2"/>
        <v>0</v>
      </c>
      <c r="E47" s="416">
        <f>SUMIF('ПО КОРИСНИЦИМА'!$D$3:$D$547,A47,'ПО КОРИСНИЦИМА'!$I$3:$I$547)</f>
        <v>0</v>
      </c>
      <c r="F47" s="416">
        <f t="shared" si="1"/>
        <v>0</v>
      </c>
    </row>
    <row r="48" spans="1:6" hidden="1">
      <c r="A48" s="108" t="s">
        <v>3917</v>
      </c>
      <c r="B48" s="104" t="s">
        <v>154</v>
      </c>
      <c r="C48" s="416">
        <f>SUMIF('ПО КОРИСНИЦИМА'!$D$3:$D$547,A48,'ПО КОРИСНИЦИМА'!$H$3:$H$547)</f>
        <v>0</v>
      </c>
      <c r="D48" s="416">
        <f t="shared" si="2"/>
        <v>0</v>
      </c>
      <c r="E48" s="416">
        <f>SUMIF('ПО КОРИСНИЦИМА'!$D$3:$D$547,A48,'ПО КОРИСНИЦИМА'!$I$3:$I$547)</f>
        <v>0</v>
      </c>
      <c r="F48" s="416">
        <f t="shared" si="1"/>
        <v>0</v>
      </c>
    </row>
    <row r="49" spans="1:6" hidden="1">
      <c r="A49" s="108" t="s">
        <v>3918</v>
      </c>
      <c r="B49" s="104" t="s">
        <v>155</v>
      </c>
      <c r="C49" s="416">
        <f>SUMIF('ПО КОРИСНИЦИМА'!$D$3:$D$547,A49,'ПО КОРИСНИЦИМА'!$H$3:$H$547)</f>
        <v>0</v>
      </c>
      <c r="D49" s="416">
        <f t="shared" si="2"/>
        <v>0</v>
      </c>
      <c r="E49" s="416">
        <f>SUMIF('ПО КОРИСНИЦИМА'!$D$3:$D$547,A49,'ПО КОРИСНИЦИМА'!$I$3:$I$547)</f>
        <v>0</v>
      </c>
      <c r="F49" s="416">
        <f t="shared" si="1"/>
        <v>0</v>
      </c>
    </row>
    <row r="50" spans="1:6">
      <c r="A50" s="626" t="s">
        <v>3806</v>
      </c>
      <c r="B50" s="625" t="s">
        <v>4394</v>
      </c>
      <c r="C50" s="417">
        <f>C51</f>
        <v>8000000</v>
      </c>
      <c r="D50" s="417">
        <f t="shared" si="2"/>
        <v>9.8039215686274508E-3</v>
      </c>
      <c r="E50" s="417">
        <f>E51</f>
        <v>0</v>
      </c>
      <c r="F50" s="417">
        <f>C50+E50</f>
        <v>8000000</v>
      </c>
    </row>
    <row r="51" spans="1:6">
      <c r="A51" s="108" t="s">
        <v>4393</v>
      </c>
      <c r="B51" s="104" t="s">
        <v>161</v>
      </c>
      <c r="C51" s="416">
        <f>SUMIF('ПО КОРИСНИЦИМА'!$D$3:$D$547,A51,'ПО КОРИСНИЦИМА'!$H$3:$H$547)</f>
        <v>8000000</v>
      </c>
      <c r="D51" s="416">
        <f t="shared" si="2"/>
        <v>9.8039215686274508E-3</v>
      </c>
      <c r="E51" s="416">
        <f>SUMIF('ПО КОРИСНИЦИМА'!$D$3:$D$547,A51,'ПО КОРИСНИЦИМА'!$I$3:$I$547)</f>
        <v>0</v>
      </c>
      <c r="F51" s="416">
        <f>SUM(E51,C51)</f>
        <v>8000000</v>
      </c>
    </row>
    <row r="52" spans="1:6" hidden="1">
      <c r="A52" s="108" t="s">
        <v>3919</v>
      </c>
      <c r="B52" s="104" t="s">
        <v>156</v>
      </c>
      <c r="C52" s="416">
        <f>SUMIF('ПО КОРИСНИЦИМА'!$D$3:$D$547,A52,'ПО КОРИСНИЦИМА'!$H$3:$H$547)</f>
        <v>0</v>
      </c>
      <c r="D52" s="416">
        <f t="shared" si="2"/>
        <v>0</v>
      </c>
      <c r="E52" s="416">
        <f>SUMIF('ПО КОРИСНИЦИМА'!$D$3:$D$547,A52,'ПО КОРИСНИЦИМА'!$I$3:$I$547)</f>
        <v>0</v>
      </c>
      <c r="F52" s="416">
        <f t="shared" si="1"/>
        <v>0</v>
      </c>
    </row>
    <row r="53" spans="1:6" hidden="1">
      <c r="A53" s="103" t="s">
        <v>3920</v>
      </c>
      <c r="B53" s="104" t="s">
        <v>171</v>
      </c>
      <c r="C53" s="416">
        <f>SUMIF('ПО КОРИСНИЦИМА'!$D$3:$D$547,A53,'ПО КОРИСНИЦИМА'!$H$3:$H$547)</f>
        <v>0</v>
      </c>
      <c r="D53" s="416">
        <f t="shared" si="2"/>
        <v>0</v>
      </c>
      <c r="E53" s="416">
        <f>SUMIF('ПО КОРИСНИЦИМА'!$D$3:$D$547,A53,'ПО КОРИСНИЦИМА'!$I$3:$I$547)</f>
        <v>0</v>
      </c>
      <c r="F53" s="416">
        <f t="shared" ref="F53:F85" si="3">SUM(E53,C53)</f>
        <v>0</v>
      </c>
    </row>
    <row r="54" spans="1:6">
      <c r="A54" s="101" t="s">
        <v>3921</v>
      </c>
      <c r="B54" s="106" t="s">
        <v>172</v>
      </c>
      <c r="C54" s="414">
        <f>SUM(C55:C60)</f>
        <v>85150000</v>
      </c>
      <c r="D54" s="414">
        <f t="shared" si="2"/>
        <v>0.10435049019607844</v>
      </c>
      <c r="E54" s="414">
        <f>SUM(E55:E60)</f>
        <v>22900000</v>
      </c>
      <c r="F54" s="414">
        <f>C54+E54</f>
        <v>108050000</v>
      </c>
    </row>
    <row r="55" spans="1:6">
      <c r="A55" s="103" t="s">
        <v>3821</v>
      </c>
      <c r="B55" s="104" t="s">
        <v>3922</v>
      </c>
      <c r="C55" s="416">
        <f>SUMIF('ПО КОРИСНИЦИМА'!$D$3:$D$547,A55,'ПО КОРИСНИЦИМА'!$H$3:$H$547)</f>
        <v>14530000</v>
      </c>
      <c r="D55" s="416">
        <f t="shared" si="2"/>
        <v>1.7806372549019608E-2</v>
      </c>
      <c r="E55" s="416">
        <f>SUMIF('ПО КОРИСНИЦИМА'!$D$3:$D$547,A55,'ПО КОРИСНИЦИМА'!$I$3:$I$547)</f>
        <v>0</v>
      </c>
      <c r="F55" s="416">
        <f t="shared" si="3"/>
        <v>14530000</v>
      </c>
    </row>
    <row r="56" spans="1:6">
      <c r="A56" s="103" t="s">
        <v>3828</v>
      </c>
      <c r="B56" s="104" t="s">
        <v>3923</v>
      </c>
      <c r="C56" s="416">
        <f>SUMIF('ПО КОРИСНИЦИМА'!$D$3:$D$547,A56,'ПО КОРИСНИЦИМА'!$H$3:$H$547)</f>
        <v>20900000</v>
      </c>
      <c r="D56" s="416">
        <f t="shared" si="2"/>
        <v>2.5612745098039215E-2</v>
      </c>
      <c r="E56" s="416">
        <f>SUMIF('ПО КОРИСНИЦИМА'!$D$3:$D$547,A56,'ПО КОРИСНИЦИМА'!$I$3:$I$547)</f>
        <v>22900000</v>
      </c>
      <c r="F56" s="416">
        <f t="shared" si="3"/>
        <v>43800000</v>
      </c>
    </row>
    <row r="57" spans="1:6" hidden="1">
      <c r="A57" s="103" t="s">
        <v>3924</v>
      </c>
      <c r="B57" s="104" t="s">
        <v>3925</v>
      </c>
      <c r="C57" s="416">
        <f>SUMIF('ПО КОРИСНИЦИМА'!$D$3:$D$547,A57,'ПО КОРИСНИЦИМА'!$H$3:$H$547)</f>
        <v>0</v>
      </c>
      <c r="D57" s="416">
        <f t="shared" si="2"/>
        <v>0</v>
      </c>
      <c r="E57" s="416">
        <f>SUMIF('ПО КОРИСНИЦИМА'!$D$3:$D$547,A57,'ПО КОРИСНИЦИМА'!$I$3:$I$547)</f>
        <v>0</v>
      </c>
      <c r="F57" s="416">
        <f t="shared" si="3"/>
        <v>0</v>
      </c>
    </row>
    <row r="58" spans="1:6" hidden="1">
      <c r="A58" s="103" t="s">
        <v>3833</v>
      </c>
      <c r="B58" s="104" t="s">
        <v>3926</v>
      </c>
      <c r="C58" s="416">
        <f>SUMIF('ПО КОРИСНИЦИМА'!$D$3:$D$547,A58,'ПО КОРИСНИЦИМА'!$H$3:$H$547)</f>
        <v>0</v>
      </c>
      <c r="D58" s="416">
        <f t="shared" si="2"/>
        <v>0</v>
      </c>
      <c r="E58" s="416">
        <f>SUMIF('ПО КОРИСНИЦИМА'!$D$3:$D$547,A58,'ПО КОРИСНИЦИМА'!$I$3:$I$547)</f>
        <v>0</v>
      </c>
      <c r="F58" s="416">
        <f t="shared" si="3"/>
        <v>0</v>
      </c>
    </row>
    <row r="59" spans="1:6" hidden="1">
      <c r="A59" s="103" t="s">
        <v>3927</v>
      </c>
      <c r="B59" s="104" t="s">
        <v>3928</v>
      </c>
      <c r="C59" s="416">
        <f>SUMIF('ПО КОРИСНИЦИМА'!$D$3:$D$547,A59,'ПО КОРИСНИЦИМА'!$H$3:$H$547)</f>
        <v>0</v>
      </c>
      <c r="D59" s="416">
        <f t="shared" si="2"/>
        <v>0</v>
      </c>
      <c r="E59" s="416">
        <f>SUMIF('ПО КОРИСНИЦИМА'!$D$3:$D$547,A59,'ПО КОРИСНИЦИМА'!$I$3:$I$547)</f>
        <v>0</v>
      </c>
      <c r="F59" s="416">
        <f t="shared" si="3"/>
        <v>0</v>
      </c>
    </row>
    <row r="60" spans="1:6">
      <c r="A60" s="103" t="s">
        <v>3929</v>
      </c>
      <c r="B60" s="104" t="s">
        <v>178</v>
      </c>
      <c r="C60" s="416">
        <f>SUMIF('ПО КОРИСНИЦИМА'!$D$3:$D$547,A60,'ПО КОРИСНИЦИМА'!$H$3:$H$547)</f>
        <v>49720000</v>
      </c>
      <c r="D60" s="416">
        <f t="shared" si="2"/>
        <v>6.0931372549019605E-2</v>
      </c>
      <c r="E60" s="416">
        <f>SUMIF('ПО КОРИСНИЦИМА'!$D$3:$D$547,A60,'ПО КОРИСНИЦИМА'!$I$3:$I$547)</f>
        <v>0</v>
      </c>
      <c r="F60" s="416">
        <f t="shared" si="3"/>
        <v>49720000</v>
      </c>
    </row>
    <row r="61" spans="1:6">
      <c r="A61" s="109" t="s">
        <v>3930</v>
      </c>
      <c r="B61" s="110" t="s">
        <v>3931</v>
      </c>
      <c r="C61" s="417">
        <f>SUM(C62:C67)</f>
        <v>77230000</v>
      </c>
      <c r="D61" s="417">
        <f t="shared" si="2"/>
        <v>9.464460784313726E-2</v>
      </c>
      <c r="E61" s="417">
        <f>SUM(E62:E67)</f>
        <v>18000000</v>
      </c>
      <c r="F61" s="417">
        <f>C61+E61</f>
        <v>95230000</v>
      </c>
    </row>
    <row r="62" spans="1:6" hidden="1">
      <c r="A62" s="103" t="s">
        <v>3840</v>
      </c>
      <c r="B62" s="104" t="s">
        <v>3932</v>
      </c>
      <c r="C62" s="416">
        <f>SUMIF('ПО КОРИСНИЦИМА'!$D$3:$D$547,A62,'ПО КОРИСНИЦИМА'!$H$3:$H$547)</f>
        <v>0</v>
      </c>
      <c r="D62" s="416">
        <f t="shared" si="2"/>
        <v>0</v>
      </c>
      <c r="E62" s="416">
        <f>SUMIF('ПО КОРИСНИЦИМА'!$D$3:$D$547,A62,'ПО КОРИСНИЦИМА'!$I$3:$I$547)</f>
        <v>0</v>
      </c>
      <c r="F62" s="416">
        <f t="shared" si="3"/>
        <v>0</v>
      </c>
    </row>
    <row r="63" spans="1:6">
      <c r="A63" s="103" t="s">
        <v>3847</v>
      </c>
      <c r="B63" s="104" t="s">
        <v>3933</v>
      </c>
      <c r="C63" s="416">
        <f>SUMIF('ПО КОРИСНИЦИМА'!$D$3:$D$547,A63,'ПО КОРИСНИЦИМА'!$H$3:$H$547)</f>
        <v>25080000</v>
      </c>
      <c r="D63" s="416">
        <f t="shared" si="2"/>
        <v>3.0735294117647059E-2</v>
      </c>
      <c r="E63" s="416">
        <f>SUMIF('ПО КОРИСНИЦИМА'!$D$3:$D$547,A63,'ПО КОРИСНИЦИМА'!$I$3:$I$547)</f>
        <v>16000000</v>
      </c>
      <c r="F63" s="416">
        <f t="shared" si="3"/>
        <v>41080000</v>
      </c>
    </row>
    <row r="64" spans="1:6">
      <c r="A64" s="103" t="s">
        <v>3934</v>
      </c>
      <c r="B64" s="104" t="s">
        <v>3935</v>
      </c>
      <c r="C64" s="416">
        <f>SUMIF('ПО КОРИСНИЦИМА'!$D$3:$D$547,A64,'ПО КОРИСНИЦИМА'!$H$3:$H$547)</f>
        <v>25800000</v>
      </c>
      <c r="D64" s="416">
        <f t="shared" si="2"/>
        <v>3.1617647058823528E-2</v>
      </c>
      <c r="E64" s="416">
        <f>SUMIF('ПО КОРИСНИЦИМА'!$D$3:$D$547,A64,'ПО КОРИСНИЦИМА'!$I$3:$I$547)</f>
        <v>2000000</v>
      </c>
      <c r="F64" s="416">
        <f t="shared" si="3"/>
        <v>27800000</v>
      </c>
    </row>
    <row r="65" spans="1:6">
      <c r="A65" s="103" t="s">
        <v>3936</v>
      </c>
      <c r="B65" s="104" t="s">
        <v>3937</v>
      </c>
      <c r="C65" s="416">
        <f>SUMIF('ПО КОРИСНИЦИМА'!$D$3:$D$547,A65,'ПО КОРИСНИЦИМА'!$H$3:$H$547)</f>
        <v>26350000</v>
      </c>
      <c r="D65" s="416">
        <f t="shared" si="2"/>
        <v>3.229166666666667E-2</v>
      </c>
      <c r="E65" s="416">
        <f>SUMIF('ПО КОРИСНИЦИМА'!$D$3:$D$547,A65,'ПО КОРИСНИЦИМА'!$I$3:$I$547)</f>
        <v>0</v>
      </c>
      <c r="F65" s="416">
        <f t="shared" si="3"/>
        <v>26350000</v>
      </c>
    </row>
    <row r="66" spans="1:6" hidden="1">
      <c r="A66" s="103" t="s">
        <v>3938</v>
      </c>
      <c r="B66" s="104" t="s">
        <v>3939</v>
      </c>
      <c r="C66" s="416">
        <f>SUMIF('ПО КОРИСНИЦИМА'!$D$3:$D$547,A66,'ПО КОРИСНИЦИМА'!$H$3:$H$547)</f>
        <v>0</v>
      </c>
      <c r="D66" s="416">
        <f t="shared" si="2"/>
        <v>0</v>
      </c>
      <c r="E66" s="416">
        <f>SUMIF('ПО КОРИСНИЦИМА'!$D$3:$D$547,A66,'ПО КОРИСНИЦИМА'!$I$3:$I$547)</f>
        <v>0</v>
      </c>
      <c r="F66" s="416">
        <f t="shared" si="3"/>
        <v>0</v>
      </c>
    </row>
    <row r="67" spans="1:6" ht="18.75" hidden="1" customHeight="1">
      <c r="A67" s="103" t="s">
        <v>3940</v>
      </c>
      <c r="B67" s="104" t="s">
        <v>185</v>
      </c>
      <c r="C67" s="416">
        <f>SUMIF('ПО КОРИСНИЦИМА'!$D$3:$D$547,A67,'ПО КОРИСНИЦИМА'!$H$3:$H$547)</f>
        <v>0</v>
      </c>
      <c r="D67" s="416">
        <f t="shared" si="2"/>
        <v>0</v>
      </c>
      <c r="E67" s="416">
        <f>SUMIF('ПО КОРИСНИЦИМА'!$D$3:$D$547,A67,'ПО КОРИСНИЦИМА'!$I$3:$I$547)</f>
        <v>0</v>
      </c>
      <c r="F67" s="416">
        <f t="shared" si="3"/>
        <v>0</v>
      </c>
    </row>
    <row r="68" spans="1:6">
      <c r="A68" s="111">
        <v>700</v>
      </c>
      <c r="B68" s="112" t="s">
        <v>186</v>
      </c>
      <c r="C68" s="418">
        <f>SUM(C69:C71)</f>
        <v>14000000</v>
      </c>
      <c r="D68" s="418">
        <f t="shared" si="2"/>
        <v>1.7156862745098041E-2</v>
      </c>
      <c r="E68" s="418">
        <f>SUM(E69:E71)</f>
        <v>0</v>
      </c>
      <c r="F68" s="418">
        <f>C68+E68</f>
        <v>14000000</v>
      </c>
    </row>
    <row r="69" spans="1:6">
      <c r="A69" s="103" t="s">
        <v>3941</v>
      </c>
      <c r="B69" s="104" t="s">
        <v>3942</v>
      </c>
      <c r="C69" s="416">
        <f>SUMIF('ПО КОРИСНИЦИМА'!$D$3:$D$547,A69,'ПО КОРИСНИЦИМА'!$H$3:$H$547)</f>
        <v>14000000</v>
      </c>
      <c r="D69" s="416">
        <f t="shared" si="2"/>
        <v>1.7156862745098041E-2</v>
      </c>
      <c r="E69" s="416">
        <f>SUMIF('ПО КОРИСНИЦИМА'!$D$3:$D$547,A69,'ПО КОРИСНИЦИМА'!$I$3:$I$547)</f>
        <v>0</v>
      </c>
      <c r="F69" s="416">
        <f t="shared" si="3"/>
        <v>14000000</v>
      </c>
    </row>
    <row r="70" spans="1:6" hidden="1">
      <c r="A70" s="103" t="s">
        <v>3943</v>
      </c>
      <c r="B70" s="104" t="s">
        <v>3944</v>
      </c>
      <c r="C70" s="416">
        <f>SUMIF('ПО КОРИСНИЦИМА'!$D$3:$D$547,A70,'ПО КОРИСНИЦИМА'!$H$3:$H$547)</f>
        <v>0</v>
      </c>
      <c r="D70" s="416">
        <f t="shared" si="2"/>
        <v>0</v>
      </c>
      <c r="E70" s="416">
        <f>SUMIF('ПО КОРИСНИЦИМА'!$D$3:$D$547,A70,'ПО КОРИСНИЦИМА'!$I$3:$I$547)</f>
        <v>0</v>
      </c>
      <c r="F70" s="416">
        <f t="shared" si="3"/>
        <v>0</v>
      </c>
    </row>
    <row r="71" spans="1:6" hidden="1">
      <c r="A71" s="103" t="s">
        <v>3945</v>
      </c>
      <c r="B71" s="104" t="s">
        <v>3946</v>
      </c>
      <c r="C71" s="416">
        <f>SUMIF('ПО КОРИСНИЦИМА'!$D$3:$D$547,A71,'ПО КОРИСНИЦИМА'!$H$3:$H$547)</f>
        <v>0</v>
      </c>
      <c r="D71" s="416">
        <f t="shared" si="2"/>
        <v>0</v>
      </c>
      <c r="E71" s="416">
        <f>SUMIF('ПО КОРИСНИЦИМА'!$D$3:$D$547,A71,'ПО КОРИСНИЦИМА'!$I$3:$I$547)</f>
        <v>0</v>
      </c>
      <c r="F71" s="416">
        <f t="shared" si="3"/>
        <v>0</v>
      </c>
    </row>
    <row r="72" spans="1:6">
      <c r="A72" s="101" t="s">
        <v>3947</v>
      </c>
      <c r="B72" s="106" t="s">
        <v>204</v>
      </c>
      <c r="C72" s="414">
        <f>SUM(C73:C77)</f>
        <v>87860000</v>
      </c>
      <c r="D72" s="414">
        <f t="shared" si="2"/>
        <v>0.10767156862745098</v>
      </c>
      <c r="E72" s="414">
        <f>SUM(E73:E77)</f>
        <v>30600000</v>
      </c>
      <c r="F72" s="414">
        <f>C72+E72</f>
        <v>118460000</v>
      </c>
    </row>
    <row r="73" spans="1:6">
      <c r="A73" s="103" t="s">
        <v>3948</v>
      </c>
      <c r="B73" s="104" t="s">
        <v>3949</v>
      </c>
      <c r="C73" s="416">
        <f>SUMIF('ПО КОРИСНИЦИМА'!$D$3:$D$547,A73,'ПО КОРИСНИЦИМА'!$H$3:$H$547)</f>
        <v>55760000</v>
      </c>
      <c r="D73" s="416">
        <f t="shared" ref="D73:D86" si="4">IFERROR(C73/$C$86,"-")</f>
        <v>6.8333333333333329E-2</v>
      </c>
      <c r="E73" s="416">
        <f>SUMIF('ПО КОРИСНИЦИМА'!$D$3:$D$547,A73,'ПО КОРИСНИЦИМА'!$I$3:$I$547)</f>
        <v>30600000</v>
      </c>
      <c r="F73" s="416">
        <f t="shared" si="3"/>
        <v>86360000</v>
      </c>
    </row>
    <row r="74" spans="1:6">
      <c r="A74" s="103" t="s">
        <v>3950</v>
      </c>
      <c r="B74" s="104" t="s">
        <v>3951</v>
      </c>
      <c r="C74" s="416">
        <f>SUMIF('ПО КОРИСНИЦИМА'!$D$3:$D$547,A74,'ПО КОРИСНИЦИМА'!$H$3:$H$547)</f>
        <v>27400000</v>
      </c>
      <c r="D74" s="416">
        <f t="shared" si="4"/>
        <v>3.3578431372549018E-2</v>
      </c>
      <c r="E74" s="416">
        <f>SUMIF('ПО КОРИСНИЦИМА'!$D$3:$D$547,A74,'ПО КОРИСНИЦИМА'!$I$3:$I$547)</f>
        <v>0</v>
      </c>
      <c r="F74" s="416">
        <f t="shared" si="3"/>
        <v>27400000</v>
      </c>
    </row>
    <row r="75" spans="1:6">
      <c r="A75" s="103" t="s">
        <v>3952</v>
      </c>
      <c r="B75" s="104" t="s">
        <v>3953</v>
      </c>
      <c r="C75" s="416">
        <f>SUMIF('ПО КОРИСНИЦИМА'!$D$3:$D$547,A75,'ПО КОРИСНИЦИМА'!$H$3:$H$547)</f>
        <v>3000000</v>
      </c>
      <c r="D75" s="416">
        <f t="shared" si="4"/>
        <v>3.6764705882352941E-3</v>
      </c>
      <c r="E75" s="416">
        <f>SUMIF('ПО КОРИСНИЦИМА'!$D$3:$D$547,A75,'ПО КОРИСНИЦИМА'!$I$3:$I$547)</f>
        <v>0</v>
      </c>
      <c r="F75" s="416">
        <f t="shared" si="3"/>
        <v>3000000</v>
      </c>
    </row>
    <row r="76" spans="1:6" hidden="1">
      <c r="A76" s="103" t="s">
        <v>3954</v>
      </c>
      <c r="B76" s="104" t="s">
        <v>3955</v>
      </c>
      <c r="C76" s="416">
        <f>SUMIF('ПО КОРИСНИЦИМА'!$D$3:$D$547,A76,'ПО КОРИСНИЦИМА'!$H$3:$H$547)</f>
        <v>0</v>
      </c>
      <c r="D76" s="416">
        <f t="shared" si="4"/>
        <v>0</v>
      </c>
      <c r="E76" s="416">
        <f>SUMIF('ПО КОРИСНИЦИМА'!$D$3:$D$547,A76,'ПО КОРИСНИЦИМА'!$I$3:$I$547)</f>
        <v>0</v>
      </c>
      <c r="F76" s="416">
        <f t="shared" si="3"/>
        <v>0</v>
      </c>
    </row>
    <row r="77" spans="1:6">
      <c r="A77" s="103" t="s">
        <v>4326</v>
      </c>
      <c r="B77" s="104" t="s">
        <v>4327</v>
      </c>
      <c r="C77" s="416">
        <f>SUMIF('ПО КОРИСНИЦИМА'!$D$3:$D$547,A77,'ПО КОРИСНИЦИМА'!$H$3:$H$547)</f>
        <v>1700000</v>
      </c>
      <c r="D77" s="416">
        <f>IFERROR(C77/$C$86,"-")</f>
        <v>2.0833333333333333E-3</v>
      </c>
      <c r="E77" s="416">
        <f>SUMIF('ПО КОРИСНИЦИМА'!$D$3:$D$547,A77,'ПО КОРИСНИЦИМА'!$I$3:$I$547)</f>
        <v>0</v>
      </c>
      <c r="F77" s="416">
        <f>SUM(E77,C77)</f>
        <v>1700000</v>
      </c>
    </row>
    <row r="78" spans="1:6">
      <c r="A78" s="113" t="s">
        <v>3956</v>
      </c>
      <c r="B78" s="106" t="s">
        <v>211</v>
      </c>
      <c r="C78" s="414">
        <f>SUM(C79:C85)</f>
        <v>164650000</v>
      </c>
      <c r="D78" s="414">
        <f t="shared" si="4"/>
        <v>0.20177696078431373</v>
      </c>
      <c r="E78" s="414">
        <f>SUM(E79:E85)</f>
        <v>99700000</v>
      </c>
      <c r="F78" s="414">
        <f>C78+E78</f>
        <v>264350000</v>
      </c>
    </row>
    <row r="79" spans="1:6" hidden="1">
      <c r="A79" s="103" t="s">
        <v>3957</v>
      </c>
      <c r="B79" s="104" t="s">
        <v>3958</v>
      </c>
      <c r="C79" s="416">
        <f>SUMIF('ПО КОРИСНИЦИМА'!$D$3:$D$547,A79,'ПО КОРИСНИЦИМА'!$H$3:$H$547)</f>
        <v>0</v>
      </c>
      <c r="D79" s="416">
        <f t="shared" si="4"/>
        <v>0</v>
      </c>
      <c r="E79" s="416">
        <f>SUMIF('ПО КОРИСНИЦИМА'!$D$3:$D$547,A79,'ПО КОРИСНИЦИМА'!$I$3:$I$547)</f>
        <v>0</v>
      </c>
      <c r="F79" s="416">
        <f t="shared" si="3"/>
        <v>0</v>
      </c>
    </row>
    <row r="80" spans="1:6">
      <c r="A80" s="105" t="s">
        <v>3959</v>
      </c>
      <c r="B80" s="104" t="s">
        <v>213</v>
      </c>
      <c r="C80" s="416">
        <f>SUMIF('ПО КОРИСНИЦИМА'!$D$3:$D$547,A80,'ПО КОРИСНИЦИМА'!$H$3:$H$547)</f>
        <v>76150000</v>
      </c>
      <c r="D80" s="416">
        <f t="shared" si="4"/>
        <v>9.3321078431372551E-2</v>
      </c>
      <c r="E80" s="416">
        <f>SUMIF('ПО КОРИСНИЦИМА'!$D$3:$D$547,A80,'ПО КОРИСНИЦИМА'!$I$3:$I$547)</f>
        <v>1700000</v>
      </c>
      <c r="F80" s="416">
        <f t="shared" si="3"/>
        <v>77850000</v>
      </c>
    </row>
    <row r="81" spans="1:6">
      <c r="A81" s="105" t="s">
        <v>3735</v>
      </c>
      <c r="B81" s="104" t="s">
        <v>214</v>
      </c>
      <c r="C81" s="416">
        <f>SUMIF('ПО КОРИСНИЦИМА'!$D$3:$D$547,A81,'ПО КОРИСНИЦИМА'!$H$3:$H$547)</f>
        <v>66000000</v>
      </c>
      <c r="D81" s="416">
        <f t="shared" si="4"/>
        <v>8.0882352941176475E-2</v>
      </c>
      <c r="E81" s="416">
        <f>SUMIF('ПО КОРИСНИЦИМА'!$D$3:$D$547,A81,'ПО КОРИСНИЦИМА'!$I$3:$I$547)</f>
        <v>98000000</v>
      </c>
      <c r="F81" s="416">
        <f t="shared" si="3"/>
        <v>164000000</v>
      </c>
    </row>
    <row r="82" spans="1:6" hidden="1">
      <c r="A82" s="103" t="s">
        <v>3960</v>
      </c>
      <c r="B82" s="104" t="s">
        <v>3961</v>
      </c>
      <c r="C82" s="416">
        <f>SUMIF('ПО КОРИСНИЦИМА'!$D$3:$D$547,A82,'ПО КОРИСНИЦИМА'!$H$3:$H$547)</f>
        <v>22500000</v>
      </c>
      <c r="D82" s="416">
        <f t="shared" si="4"/>
        <v>2.7573529411764705E-2</v>
      </c>
      <c r="E82" s="416">
        <f>SUMIF('ПО КОРИСНИЦИМА'!$D$3:$D$547,A82,'ПО КОРИСНИЦИМА'!$I$3:$I$547)</f>
        <v>0</v>
      </c>
      <c r="F82" s="416">
        <f t="shared" si="3"/>
        <v>22500000</v>
      </c>
    </row>
    <row r="83" spans="1:6" hidden="1">
      <c r="A83" s="105" t="s">
        <v>3962</v>
      </c>
      <c r="B83" s="104" t="s">
        <v>220</v>
      </c>
      <c r="C83" s="416">
        <f>SUMIF('ПО КОРИСНИЦИМА'!$D$3:$D$547,A83,'ПО КОРИСНИЦИМА'!$H$3:$H$547)</f>
        <v>0</v>
      </c>
      <c r="D83" s="416">
        <f t="shared" si="4"/>
        <v>0</v>
      </c>
      <c r="E83" s="416">
        <f>SUMIF('ПО КОРИСНИЦИМА'!$D$3:$D$547,A83,'ПО КОРИСНИЦИМА'!$I$3:$I$547)</f>
        <v>0</v>
      </c>
      <c r="F83" s="416">
        <f t="shared" si="3"/>
        <v>0</v>
      </c>
    </row>
    <row r="84" spans="1:6">
      <c r="A84" s="105" t="s">
        <v>3963</v>
      </c>
      <c r="B84" s="104" t="s">
        <v>221</v>
      </c>
      <c r="C84" s="416">
        <f>SUMIF('ПО КОРИСНИЦИМА'!$D$3:$D$547,A84,'ПО КОРИСНИЦИМА'!$H$3:$H$547)</f>
        <v>0</v>
      </c>
      <c r="D84" s="416">
        <f t="shared" si="4"/>
        <v>0</v>
      </c>
      <c r="E84" s="416">
        <f>SUMIF('ПО КОРИСНИЦИМА'!$D$3:$D$547,A84,'ПО КОРИСНИЦИМА'!$I$3:$I$547)</f>
        <v>0</v>
      </c>
      <c r="F84" s="416">
        <f t="shared" si="3"/>
        <v>0</v>
      </c>
    </row>
    <row r="85" spans="1:6" hidden="1">
      <c r="A85" s="105" t="s">
        <v>3964</v>
      </c>
      <c r="B85" s="104" t="s">
        <v>222</v>
      </c>
      <c r="C85" s="416">
        <f>SUMIF('ПО КОРИСНИЦИМА'!$D$3:$D$547,A85,'ПО КОРИСНИЦИМА'!$H$3:$H$547)</f>
        <v>0</v>
      </c>
      <c r="D85" s="416">
        <f t="shared" si="4"/>
        <v>0</v>
      </c>
      <c r="E85" s="416">
        <f>SUMIF('ПО КОРИСНИЦИМА'!$D$3:$D$547,A85,'ПО КОРИСНИЦИМА'!$I$3:$I$547)</f>
        <v>0</v>
      </c>
      <c r="F85" s="416">
        <f t="shared" si="3"/>
        <v>0</v>
      </c>
    </row>
    <row r="86" spans="1:6" ht="26.25" customHeight="1">
      <c r="A86" s="114"/>
      <c r="B86" s="115" t="s">
        <v>3965</v>
      </c>
      <c r="C86" s="412">
        <f>C4+C14+C31+C35+C54+C61+C68+C72+C78</f>
        <v>816000000</v>
      </c>
      <c r="D86" s="412">
        <f t="shared" si="4"/>
        <v>1</v>
      </c>
      <c r="E86" s="412">
        <f>E4+E14+E31+E35+E43+E45+E50+E54+E61+E68+E72+E78</f>
        <v>218700000</v>
      </c>
      <c r="F86" s="412">
        <f>SUM(E86,C86)</f>
        <v>1034700000</v>
      </c>
    </row>
    <row r="87" spans="1:6">
      <c r="A87" s="116"/>
      <c r="B87" s="117"/>
      <c r="C87" s="118">
        <f>C86-'По основ. нам.'!C86</f>
        <v>0</v>
      </c>
      <c r="D87" s="118"/>
      <c r="E87" s="118">
        <f>E86-'По основ. нам.'!E86</f>
        <v>0</v>
      </c>
      <c r="F87" s="118" t="e">
        <f>ljkl-'ПО КОРИСНИЦИМА'!#REF!</f>
        <v>#REF!</v>
      </c>
    </row>
  </sheetData>
  <mergeCells count="1">
    <mergeCell ref="A1:F1"/>
  </mergeCells>
  <conditionalFormatting sqref="C87 E87:F87">
    <cfRule type="cellIs" dxfId="0" priority="2" stopIfTrue="1" operator="notEqual">
      <formula>0</formula>
    </cfRule>
  </conditionalFormatting>
  <conditionalFormatting sqref="C87:F87">
    <cfRule type="cellIs" priority="1" operator="notEqual">
      <formula>0</formula>
    </cfRule>
  </conditionalFormatting>
  <pageMargins left="0.7" right="0.7" top="0.75" bottom="0.75" header="0.3" footer="0.3"/>
  <pageSetup orientation="landscape" r:id="rId1"/>
  <cellWatches>
    <cellWatch r="C87"/>
  </cellWatches>
  <drawing r:id="rId2"/>
</worksheet>
</file>

<file path=xl/worksheets/sheet8.xml><?xml version="1.0" encoding="utf-8"?>
<worksheet xmlns="http://schemas.openxmlformats.org/spreadsheetml/2006/main" xmlns:r="http://schemas.openxmlformats.org/officeDocument/2006/relationships">
  <sheetPr>
    <tabColor theme="1"/>
  </sheetPr>
  <dimension ref="A1:Y544"/>
  <sheetViews>
    <sheetView topLeftCell="A541" zoomScale="98" zoomScaleNormal="98" workbookViewId="0">
      <selection activeCell="M513" sqref="M513"/>
    </sheetView>
  </sheetViews>
  <sheetFormatPr defaultRowHeight="15"/>
  <cols>
    <col min="1" max="1" width="4.140625" style="209" customWidth="1"/>
    <col min="2" max="2" width="4.5703125" style="209" customWidth="1"/>
    <col min="3" max="3" width="10.7109375" style="211" customWidth="1"/>
    <col min="4" max="4" width="6.28515625" style="209" customWidth="1"/>
    <col min="5" max="5" width="5.140625" style="209" customWidth="1"/>
    <col min="6" max="6" width="7.140625" style="209" customWidth="1"/>
    <col min="7" max="7" width="49.85546875" style="214" customWidth="1"/>
    <col min="8" max="8" width="14" style="276" customWidth="1"/>
    <col min="9" max="9" width="13.7109375" style="277" customWidth="1"/>
    <col min="10" max="10" width="14.7109375" style="277" customWidth="1"/>
    <col min="11" max="11" width="14.7109375" style="646" customWidth="1"/>
    <col min="12" max="12" width="9.140625" style="527"/>
    <col min="13" max="13" width="18.5703125" style="646" customWidth="1"/>
    <col min="14" max="14" width="14.140625" style="646" bestFit="1" customWidth="1"/>
    <col min="15" max="15" width="9.140625" style="216" customWidth="1"/>
    <col min="16" max="25" width="9.140625" style="216"/>
    <col min="26" max="16384" width="9.140625" style="88"/>
  </cols>
  <sheetData>
    <row r="1" spans="1:13" ht="58.5" customHeight="1">
      <c r="A1" s="419" t="s">
        <v>4011</v>
      </c>
      <c r="B1" s="420" t="s">
        <v>4012</v>
      </c>
      <c r="C1" s="421" t="s">
        <v>4016</v>
      </c>
      <c r="D1" s="422" t="s">
        <v>4013</v>
      </c>
      <c r="E1" s="422" t="s">
        <v>4014</v>
      </c>
      <c r="F1" s="420" t="s">
        <v>4017</v>
      </c>
      <c r="G1" s="423" t="s">
        <v>263</v>
      </c>
      <c r="H1" s="424" t="s">
        <v>4565</v>
      </c>
      <c r="I1" s="424" t="s">
        <v>4567</v>
      </c>
      <c r="J1" s="425" t="s">
        <v>4015</v>
      </c>
      <c r="M1" s="868"/>
    </row>
    <row r="2" spans="1:13" ht="18.75" customHeight="1" thickBot="1">
      <c r="A2" s="426">
        <v>1</v>
      </c>
      <c r="B2" s="793">
        <v>2</v>
      </c>
      <c r="C2" s="794" t="s">
        <v>4021</v>
      </c>
      <c r="D2" s="795">
        <v>4</v>
      </c>
      <c r="E2" s="795">
        <v>5</v>
      </c>
      <c r="F2" s="793">
        <v>6</v>
      </c>
      <c r="G2" s="795">
        <v>7</v>
      </c>
      <c r="H2" s="796">
        <v>8</v>
      </c>
      <c r="I2" s="796">
        <v>9</v>
      </c>
      <c r="J2" s="797">
        <v>10</v>
      </c>
      <c r="M2" s="868"/>
    </row>
    <row r="3" spans="1:13" ht="15.75" thickBot="1">
      <c r="A3" s="314">
        <v>1</v>
      </c>
      <c r="B3" s="314"/>
      <c r="C3" s="315"/>
      <c r="D3" s="316"/>
      <c r="E3" s="316"/>
      <c r="F3" s="316"/>
      <c r="G3" s="317" t="s">
        <v>4254</v>
      </c>
      <c r="H3" s="318"/>
      <c r="I3" s="319"/>
      <c r="J3" s="320"/>
      <c r="M3" s="868"/>
    </row>
    <row r="4" spans="1:13" ht="28.5">
      <c r="A4" s="321"/>
      <c r="B4" s="212"/>
      <c r="C4" s="326" t="s">
        <v>4334</v>
      </c>
      <c r="D4" s="215"/>
      <c r="E4" s="773"/>
      <c r="F4" s="340"/>
      <c r="G4" s="221" t="s">
        <v>4333</v>
      </c>
      <c r="H4" s="332"/>
      <c r="I4" s="279"/>
      <c r="J4" s="334"/>
      <c r="M4" s="868"/>
    </row>
    <row r="5" spans="1:13">
      <c r="A5" s="772"/>
      <c r="B5" s="212"/>
      <c r="C5" s="326" t="s">
        <v>4335</v>
      </c>
      <c r="D5" s="215"/>
      <c r="E5" s="773"/>
      <c r="F5" s="340"/>
      <c r="G5" s="221" t="s">
        <v>4336</v>
      </c>
      <c r="H5" s="332"/>
      <c r="I5" s="279"/>
      <c r="J5" s="334"/>
      <c r="M5" s="868"/>
    </row>
    <row r="6" spans="1:13" ht="30">
      <c r="A6" s="772"/>
      <c r="B6" s="212"/>
      <c r="C6" s="329" t="s">
        <v>4335</v>
      </c>
      <c r="D6" s="212">
        <v>111</v>
      </c>
      <c r="E6" s="328"/>
      <c r="F6" s="341"/>
      <c r="G6" s="217" t="s">
        <v>104</v>
      </c>
      <c r="H6" s="332"/>
      <c r="I6" s="279"/>
      <c r="J6" s="334"/>
      <c r="M6" s="868"/>
    </row>
    <row r="7" spans="1:13">
      <c r="A7" s="772"/>
      <c r="B7" s="212"/>
      <c r="C7" s="329" t="s">
        <v>4335</v>
      </c>
      <c r="D7" s="212">
        <v>111</v>
      </c>
      <c r="E7" s="773">
        <v>1</v>
      </c>
      <c r="F7" s="681">
        <v>421</v>
      </c>
      <c r="G7" s="682" t="s">
        <v>3772</v>
      </c>
      <c r="H7" s="1253">
        <v>50000</v>
      </c>
      <c r="I7" s="1254"/>
      <c r="J7" s="1255">
        <f t="shared" ref="J7:J13" si="0">SUM(H7:I7)</f>
        <v>50000</v>
      </c>
      <c r="M7" s="868"/>
    </row>
    <row r="8" spans="1:13">
      <c r="A8" s="772"/>
      <c r="B8" s="212"/>
      <c r="C8" s="329" t="s">
        <v>4335</v>
      </c>
      <c r="D8" s="212">
        <v>111</v>
      </c>
      <c r="E8" s="773">
        <v>2</v>
      </c>
      <c r="F8" s="681">
        <v>422</v>
      </c>
      <c r="G8" s="682" t="s">
        <v>3773</v>
      </c>
      <c r="H8" s="1253">
        <v>50000</v>
      </c>
      <c r="I8" s="1254">
        <v>0</v>
      </c>
      <c r="J8" s="1255">
        <f t="shared" si="0"/>
        <v>50000</v>
      </c>
      <c r="L8" s="1256"/>
      <c r="M8" s="868"/>
    </row>
    <row r="9" spans="1:13">
      <c r="A9" s="772"/>
      <c r="B9" s="212"/>
      <c r="C9" s="329" t="s">
        <v>4335</v>
      </c>
      <c r="D9" s="212">
        <v>111</v>
      </c>
      <c r="E9" s="773">
        <v>3</v>
      </c>
      <c r="F9" s="681">
        <v>423</v>
      </c>
      <c r="G9" s="682" t="s">
        <v>3774</v>
      </c>
      <c r="H9" s="1253">
        <v>4300000</v>
      </c>
      <c r="I9" s="1254">
        <v>0</v>
      </c>
      <c r="J9" s="1255">
        <f t="shared" si="0"/>
        <v>4300000</v>
      </c>
      <c r="L9" s="1256"/>
      <c r="M9" s="868"/>
    </row>
    <row r="10" spans="1:13">
      <c r="A10" s="772"/>
      <c r="B10" s="212"/>
      <c r="C10" s="329" t="s">
        <v>4335</v>
      </c>
      <c r="D10" s="212">
        <v>111</v>
      </c>
      <c r="E10" s="773">
        <v>4</v>
      </c>
      <c r="F10" s="681">
        <v>424</v>
      </c>
      <c r="G10" s="682" t="s">
        <v>3776</v>
      </c>
      <c r="H10" s="1253">
        <v>50000</v>
      </c>
      <c r="I10" s="1254">
        <v>0</v>
      </c>
      <c r="J10" s="1255">
        <f t="shared" si="0"/>
        <v>50000</v>
      </c>
      <c r="M10" s="868"/>
    </row>
    <row r="11" spans="1:13">
      <c r="A11" s="772"/>
      <c r="B11" s="212"/>
      <c r="C11" s="329" t="s">
        <v>4335</v>
      </c>
      <c r="D11" s="212">
        <v>111</v>
      </c>
      <c r="E11" s="773">
        <v>5</v>
      </c>
      <c r="F11" s="681">
        <v>426</v>
      </c>
      <c r="G11" s="682" t="s">
        <v>3780</v>
      </c>
      <c r="H11" s="1253">
        <v>150000</v>
      </c>
      <c r="I11" s="1254">
        <v>0</v>
      </c>
      <c r="J11" s="1255">
        <f t="shared" si="0"/>
        <v>150000</v>
      </c>
      <c r="M11" s="868"/>
    </row>
    <row r="12" spans="1:13">
      <c r="A12" s="911"/>
      <c r="B12" s="212"/>
      <c r="C12" s="329" t="s">
        <v>4335</v>
      </c>
      <c r="D12" s="212">
        <v>111</v>
      </c>
      <c r="E12" s="915" t="s">
        <v>4673</v>
      </c>
      <c r="F12" s="1257">
        <v>465</v>
      </c>
      <c r="G12" s="1258" t="s">
        <v>4025</v>
      </c>
      <c r="H12" s="1253">
        <v>80000</v>
      </c>
      <c r="I12" s="1254">
        <v>0</v>
      </c>
      <c r="J12" s="1259">
        <f t="shared" si="0"/>
        <v>80000</v>
      </c>
      <c r="M12" s="868"/>
    </row>
    <row r="13" spans="1:13" ht="30.75" thickBot="1">
      <c r="A13" s="772"/>
      <c r="B13" s="212"/>
      <c r="C13" s="329" t="s">
        <v>4335</v>
      </c>
      <c r="D13" s="212">
        <v>111</v>
      </c>
      <c r="E13" s="773">
        <v>6</v>
      </c>
      <c r="F13" s="681">
        <v>481</v>
      </c>
      <c r="G13" s="682" t="s">
        <v>4255</v>
      </c>
      <c r="H13" s="1253">
        <v>230000</v>
      </c>
      <c r="I13" s="1254">
        <v>0</v>
      </c>
      <c r="J13" s="1260">
        <f t="shared" si="0"/>
        <v>230000</v>
      </c>
      <c r="M13" s="868"/>
    </row>
    <row r="14" spans="1:13" ht="15.75" thickBot="1">
      <c r="A14" s="772"/>
      <c r="B14" s="212"/>
      <c r="C14" s="329"/>
      <c r="D14" s="212"/>
      <c r="E14" s="773"/>
      <c r="F14" s="1191" t="s">
        <v>4344</v>
      </c>
      <c r="G14" s="1211"/>
      <c r="H14" s="401">
        <f>SUM(H7:H13)</f>
        <v>4910000</v>
      </c>
      <c r="I14" s="401">
        <f>SUM(I7:I13)</f>
        <v>0</v>
      </c>
      <c r="J14" s="401">
        <f>SUM(J7:J13)</f>
        <v>4910000</v>
      </c>
      <c r="M14" s="868"/>
    </row>
    <row r="15" spans="1:13" collapsed="1">
      <c r="A15" s="772"/>
      <c r="B15" s="212"/>
      <c r="C15" s="329"/>
      <c r="D15" s="212"/>
      <c r="E15" s="773"/>
      <c r="F15" s="1212" t="s">
        <v>4576</v>
      </c>
      <c r="G15" s="1213"/>
      <c r="H15" s="1208">
        <f>H14</f>
        <v>4910000</v>
      </c>
      <c r="I15" s="1208">
        <f>I14</f>
        <v>0</v>
      </c>
      <c r="J15" s="1208">
        <f>J14</f>
        <v>4910000</v>
      </c>
      <c r="K15" s="1199"/>
      <c r="M15" s="868"/>
    </row>
    <row r="16" spans="1:13">
      <c r="A16" s="772"/>
      <c r="B16" s="212"/>
      <c r="C16" s="329"/>
      <c r="D16" s="212"/>
      <c r="E16" s="773"/>
      <c r="F16" s="1214"/>
      <c r="G16" s="1215"/>
      <c r="H16" s="1209"/>
      <c r="I16" s="1209"/>
      <c r="J16" s="1209"/>
      <c r="K16" s="1200"/>
      <c r="M16" s="868"/>
    </row>
    <row r="17" spans="1:13" ht="15.75" thickBot="1">
      <c r="A17" s="307"/>
      <c r="B17" s="312"/>
      <c r="C17" s="330"/>
      <c r="D17" s="312"/>
      <c r="E17" s="313"/>
      <c r="F17" s="1216"/>
      <c r="G17" s="1217"/>
      <c r="H17" s="1210"/>
      <c r="I17" s="1210"/>
      <c r="J17" s="1210"/>
      <c r="K17" s="1201"/>
      <c r="M17" s="868"/>
    </row>
    <row r="18" spans="1:13" ht="15.75" thickBot="1">
      <c r="M18" s="868"/>
    </row>
    <row r="19" spans="1:13" ht="24.75" customHeight="1" thickBot="1">
      <c r="A19" s="314">
        <v>2</v>
      </c>
      <c r="B19" s="314"/>
      <c r="C19" s="315"/>
      <c r="D19" s="316"/>
      <c r="E19" s="316"/>
      <c r="F19" s="316"/>
      <c r="G19" s="335" t="s">
        <v>4256</v>
      </c>
      <c r="H19" s="318"/>
      <c r="I19" s="319"/>
      <c r="J19" s="320"/>
      <c r="M19" s="868"/>
    </row>
    <row r="20" spans="1:13" ht="32.25" customHeight="1">
      <c r="A20" s="550"/>
      <c r="B20" s="212"/>
      <c r="C20" s="326" t="s">
        <v>4334</v>
      </c>
      <c r="D20" s="212"/>
      <c r="E20" s="212"/>
      <c r="F20" s="340"/>
      <c r="G20" s="221" t="s">
        <v>4333</v>
      </c>
      <c r="H20" s="355"/>
      <c r="I20" s="334"/>
      <c r="J20" s="306"/>
      <c r="M20" s="868"/>
    </row>
    <row r="21" spans="1:13" ht="33" customHeight="1">
      <c r="A21" s="550"/>
      <c r="B21" s="212"/>
      <c r="C21" s="326" t="s">
        <v>4345</v>
      </c>
      <c r="D21" s="215"/>
      <c r="E21" s="212"/>
      <c r="F21" s="340"/>
      <c r="G21" s="221" t="s">
        <v>4346</v>
      </c>
      <c r="H21" s="355"/>
      <c r="I21" s="334"/>
      <c r="J21" s="306"/>
      <c r="M21" s="868"/>
    </row>
    <row r="22" spans="1:13" ht="30.75" thickBot="1">
      <c r="A22" s="550"/>
      <c r="B22" s="212"/>
      <c r="C22" s="329" t="s">
        <v>4345</v>
      </c>
      <c r="D22" s="212">
        <v>111</v>
      </c>
      <c r="E22" s="327"/>
      <c r="F22" s="341"/>
      <c r="G22" s="217" t="s">
        <v>104</v>
      </c>
      <c r="H22" s="355"/>
      <c r="I22" s="334"/>
      <c r="J22" s="306"/>
      <c r="M22" s="868"/>
    </row>
    <row r="23" spans="1:13">
      <c r="A23" s="550"/>
      <c r="B23" s="212"/>
      <c r="C23" s="329" t="s">
        <v>4345</v>
      </c>
      <c r="D23" s="212">
        <v>111</v>
      </c>
      <c r="E23" s="212">
        <v>7</v>
      </c>
      <c r="F23" s="1266">
        <v>421</v>
      </c>
      <c r="G23" s="555" t="s">
        <v>3772</v>
      </c>
      <c r="H23" s="500">
        <v>100000</v>
      </c>
      <c r="I23" s="1267">
        <v>0</v>
      </c>
      <c r="J23" s="1268">
        <f t="shared" ref="J23:J28" si="1">SUM(H23:I23)</f>
        <v>100000</v>
      </c>
      <c r="M23" s="868"/>
    </row>
    <row r="24" spans="1:13">
      <c r="A24" s="550"/>
      <c r="B24" s="212"/>
      <c r="C24" s="329" t="s">
        <v>4345</v>
      </c>
      <c r="D24" s="212">
        <v>111</v>
      </c>
      <c r="E24" s="212">
        <v>8</v>
      </c>
      <c r="F24" s="598">
        <v>422</v>
      </c>
      <c r="G24" s="1269" t="s">
        <v>3773</v>
      </c>
      <c r="H24" s="494">
        <v>150000</v>
      </c>
      <c r="I24" s="1270">
        <v>0</v>
      </c>
      <c r="J24" s="1271">
        <f t="shared" si="1"/>
        <v>150000</v>
      </c>
      <c r="M24" s="868"/>
    </row>
    <row r="25" spans="1:13">
      <c r="A25" s="550"/>
      <c r="B25" s="212"/>
      <c r="C25" s="329" t="s">
        <v>4345</v>
      </c>
      <c r="D25" s="212">
        <v>111</v>
      </c>
      <c r="E25" s="212">
        <v>9</v>
      </c>
      <c r="F25" s="598">
        <v>423</v>
      </c>
      <c r="G25" s="1269" t="s">
        <v>4317</v>
      </c>
      <c r="H25" s="494">
        <v>4700000</v>
      </c>
      <c r="I25" s="1270">
        <v>0</v>
      </c>
      <c r="J25" s="1271">
        <f t="shared" si="1"/>
        <v>4700000</v>
      </c>
      <c r="M25" s="868"/>
    </row>
    <row r="26" spans="1:13">
      <c r="A26" s="550"/>
      <c r="B26" s="212"/>
      <c r="C26" s="329" t="s">
        <v>4345</v>
      </c>
      <c r="D26" s="212">
        <v>111</v>
      </c>
      <c r="E26" s="212">
        <v>10</v>
      </c>
      <c r="F26" s="598">
        <v>424</v>
      </c>
      <c r="G26" s="1269" t="s">
        <v>3776</v>
      </c>
      <c r="H26" s="494">
        <v>200000</v>
      </c>
      <c r="I26" s="1270">
        <v>0</v>
      </c>
      <c r="J26" s="1271">
        <f t="shared" si="1"/>
        <v>200000</v>
      </c>
      <c r="M26" s="868"/>
    </row>
    <row r="27" spans="1:13">
      <c r="A27" s="550"/>
      <c r="B27" s="212"/>
      <c r="C27" s="329" t="s">
        <v>4345</v>
      </c>
      <c r="D27" s="212">
        <v>111</v>
      </c>
      <c r="E27" s="212">
        <v>11</v>
      </c>
      <c r="F27" s="598">
        <v>425</v>
      </c>
      <c r="G27" s="1269" t="s">
        <v>4033</v>
      </c>
      <c r="H27" s="494">
        <v>50000</v>
      </c>
      <c r="I27" s="1270">
        <v>0</v>
      </c>
      <c r="J27" s="1271">
        <f t="shared" si="1"/>
        <v>50000</v>
      </c>
      <c r="M27" s="868"/>
    </row>
    <row r="28" spans="1:13" ht="15.75" thickBot="1">
      <c r="A28" s="550"/>
      <c r="B28" s="212"/>
      <c r="C28" s="329" t="s">
        <v>4345</v>
      </c>
      <c r="D28" s="212">
        <v>111</v>
      </c>
      <c r="E28" s="212">
        <v>12</v>
      </c>
      <c r="F28" s="1272">
        <v>426</v>
      </c>
      <c r="G28" s="1273" t="s">
        <v>3780</v>
      </c>
      <c r="H28" s="739">
        <v>200000</v>
      </c>
      <c r="I28" s="1274">
        <v>0</v>
      </c>
      <c r="J28" s="1275">
        <f t="shared" si="1"/>
        <v>200000</v>
      </c>
      <c r="M28" s="868"/>
    </row>
    <row r="29" spans="1:13" ht="15.75" thickBot="1">
      <c r="A29" s="550"/>
      <c r="B29" s="212"/>
      <c r="C29" s="329"/>
      <c r="D29" s="212"/>
      <c r="E29" s="212"/>
      <c r="F29" s="1191" t="s">
        <v>4347</v>
      </c>
      <c r="G29" s="1211"/>
      <c r="H29" s="401">
        <f>SUM(H23:H28)</f>
        <v>5400000</v>
      </c>
      <c r="I29" s="409">
        <f>SUM(I23:I28)</f>
        <v>0</v>
      </c>
      <c r="J29" s="409">
        <f>SUM(J23:J28)</f>
        <v>5400000</v>
      </c>
      <c r="M29" s="868"/>
    </row>
    <row r="30" spans="1:13" ht="39" customHeight="1" thickBot="1">
      <c r="A30" s="307"/>
      <c r="B30" s="312"/>
      <c r="C30" s="330"/>
      <c r="D30" s="312"/>
      <c r="E30" s="312"/>
      <c r="F30" s="1241" t="s">
        <v>4577</v>
      </c>
      <c r="G30" s="1242"/>
      <c r="H30" s="560">
        <f>SUM(H23:H28)</f>
        <v>5400000</v>
      </c>
      <c r="I30" s="561">
        <f>SUM(I23:I28)</f>
        <v>0</v>
      </c>
      <c r="J30" s="561">
        <f>SUM(J23:J28)</f>
        <v>5400000</v>
      </c>
      <c r="K30" s="1125"/>
      <c r="M30" s="868"/>
    </row>
    <row r="31" spans="1:13">
      <c r="M31" s="868"/>
    </row>
    <row r="32" spans="1:13" ht="15.75" thickBot="1">
      <c r="M32" s="868"/>
    </row>
    <row r="33" spans="1:13" ht="26.25" customHeight="1" thickBot="1">
      <c r="A33" s="314">
        <v>3</v>
      </c>
      <c r="B33" s="314"/>
      <c r="C33" s="315"/>
      <c r="D33" s="316"/>
      <c r="E33" s="316"/>
      <c r="F33" s="316"/>
      <c r="G33" s="335" t="s">
        <v>4257</v>
      </c>
      <c r="H33" s="318"/>
      <c r="I33" s="319"/>
      <c r="J33" s="320"/>
      <c r="M33" s="868"/>
    </row>
    <row r="34" spans="1:13" ht="30.75" customHeight="1">
      <c r="A34" s="321"/>
      <c r="B34" s="322"/>
      <c r="C34" s="326" t="s">
        <v>4334</v>
      </c>
      <c r="D34" s="324"/>
      <c r="E34" s="325"/>
      <c r="F34" s="347"/>
      <c r="G34" s="221" t="s">
        <v>4333</v>
      </c>
      <c r="H34" s="331"/>
      <c r="I34" s="279"/>
      <c r="J34" s="333"/>
      <c r="M34" s="868"/>
    </row>
    <row r="35" spans="1:13" ht="24" customHeight="1">
      <c r="A35" s="305"/>
      <c r="B35" s="212"/>
      <c r="C35" s="326" t="s">
        <v>4345</v>
      </c>
      <c r="D35" s="215"/>
      <c r="E35" s="311"/>
      <c r="F35" s="340"/>
      <c r="G35" s="221" t="s">
        <v>4346</v>
      </c>
      <c r="H35" s="332"/>
      <c r="I35" s="279"/>
      <c r="J35" s="334"/>
      <c r="M35" s="868"/>
    </row>
    <row r="36" spans="1:13" ht="30.75" thickBot="1">
      <c r="A36" s="305"/>
      <c r="B36" s="212"/>
      <c r="C36" s="329"/>
      <c r="D36" s="212"/>
      <c r="E36" s="311"/>
      <c r="F36" s="341"/>
      <c r="G36" s="217" t="s">
        <v>104</v>
      </c>
      <c r="H36" s="332"/>
      <c r="I36" s="279"/>
      <c r="J36" s="334"/>
      <c r="M36" s="868"/>
    </row>
    <row r="37" spans="1:13">
      <c r="A37" s="654"/>
      <c r="B37" s="212"/>
      <c r="C37" s="329" t="s">
        <v>4345</v>
      </c>
      <c r="D37" s="212">
        <v>111</v>
      </c>
      <c r="E37" s="525" t="s">
        <v>255</v>
      </c>
      <c r="F37" s="655">
        <v>411</v>
      </c>
      <c r="G37" s="555" t="s">
        <v>4023</v>
      </c>
      <c r="H37" s="500">
        <v>2620000</v>
      </c>
      <c r="I37" s="1276">
        <v>0</v>
      </c>
      <c r="J37" s="537">
        <f>H37+I37</f>
        <v>2620000</v>
      </c>
      <c r="M37" s="868"/>
    </row>
    <row r="38" spans="1:13">
      <c r="A38" s="654"/>
      <c r="B38" s="212"/>
      <c r="C38" s="329" t="s">
        <v>4345</v>
      </c>
      <c r="D38" s="212">
        <v>111</v>
      </c>
      <c r="E38" s="525" t="s">
        <v>257</v>
      </c>
      <c r="F38" s="855">
        <v>412</v>
      </c>
      <c r="G38" s="857" t="s">
        <v>3759</v>
      </c>
      <c r="H38" s="494">
        <v>490000</v>
      </c>
      <c r="I38" s="1277">
        <v>0</v>
      </c>
      <c r="J38" s="1278">
        <f>H38+I38</f>
        <v>490000</v>
      </c>
      <c r="M38" s="868"/>
    </row>
    <row r="39" spans="1:13">
      <c r="A39" s="654"/>
      <c r="B39" s="212"/>
      <c r="C39" s="329" t="s">
        <v>4345</v>
      </c>
      <c r="D39" s="212">
        <v>111</v>
      </c>
      <c r="E39" s="525" t="s">
        <v>259</v>
      </c>
      <c r="F39" s="855">
        <v>421</v>
      </c>
      <c r="G39" s="859" t="s">
        <v>3772</v>
      </c>
      <c r="H39" s="494">
        <v>200000</v>
      </c>
      <c r="I39" s="1277">
        <v>0</v>
      </c>
      <c r="J39" s="1278">
        <f>SUM(H39:I39)</f>
        <v>200000</v>
      </c>
      <c r="M39" s="868"/>
    </row>
    <row r="40" spans="1:13">
      <c r="A40" s="305"/>
      <c r="B40" s="212"/>
      <c r="C40" s="329" t="s">
        <v>4345</v>
      </c>
      <c r="D40" s="212">
        <v>111</v>
      </c>
      <c r="E40" s="212">
        <v>16</v>
      </c>
      <c r="F40" s="855">
        <v>422</v>
      </c>
      <c r="G40" s="859" t="s">
        <v>3773</v>
      </c>
      <c r="H40" s="494">
        <v>200000</v>
      </c>
      <c r="I40" s="1277">
        <v>0</v>
      </c>
      <c r="J40" s="1278">
        <f>SUM(H40:I40)</f>
        <v>200000</v>
      </c>
      <c r="M40" s="868"/>
    </row>
    <row r="41" spans="1:13">
      <c r="A41" s="305"/>
      <c r="B41" s="212"/>
      <c r="C41" s="329" t="s">
        <v>4345</v>
      </c>
      <c r="D41" s="212">
        <v>111</v>
      </c>
      <c r="E41" s="212">
        <v>17</v>
      </c>
      <c r="F41" s="855">
        <v>423</v>
      </c>
      <c r="G41" s="859" t="s">
        <v>3774</v>
      </c>
      <c r="H41" s="494">
        <v>1200000</v>
      </c>
      <c r="I41" s="1277">
        <v>0</v>
      </c>
      <c r="J41" s="1278">
        <f>SUM(H41:I41)</f>
        <v>1200000</v>
      </c>
      <c r="M41" s="868"/>
    </row>
    <row r="42" spans="1:13">
      <c r="A42" s="305"/>
      <c r="B42" s="212"/>
      <c r="C42" s="329" t="s">
        <v>4345</v>
      </c>
      <c r="D42" s="212">
        <v>111</v>
      </c>
      <c r="E42" s="212">
        <v>18</v>
      </c>
      <c r="F42" s="855">
        <v>424</v>
      </c>
      <c r="G42" s="859" t="s">
        <v>3776</v>
      </c>
      <c r="H42" s="494">
        <v>100000</v>
      </c>
      <c r="I42" s="1277">
        <v>0</v>
      </c>
      <c r="J42" s="1278">
        <f>SUM(H42:I42)</f>
        <v>100000</v>
      </c>
      <c r="M42" s="868"/>
    </row>
    <row r="43" spans="1:13">
      <c r="A43" s="305"/>
      <c r="B43" s="212"/>
      <c r="C43" s="329" t="s">
        <v>4345</v>
      </c>
      <c r="D43" s="212">
        <v>111</v>
      </c>
      <c r="E43" s="212">
        <v>19</v>
      </c>
      <c r="F43" s="855">
        <v>426</v>
      </c>
      <c r="G43" s="859" t="s">
        <v>3780</v>
      </c>
      <c r="H43" s="513">
        <v>150000</v>
      </c>
      <c r="I43" s="1279">
        <v>0</v>
      </c>
      <c r="J43" s="1280">
        <f>SUM(H43:I43)</f>
        <v>150000</v>
      </c>
      <c r="M43" s="868"/>
    </row>
    <row r="44" spans="1:13" ht="15.75" thickBot="1">
      <c r="A44" s="305"/>
      <c r="B44" s="212"/>
      <c r="C44" s="329" t="s">
        <v>4345</v>
      </c>
      <c r="D44" s="212">
        <v>111</v>
      </c>
      <c r="E44" s="525" t="s">
        <v>4642</v>
      </c>
      <c r="F44" s="675">
        <v>465</v>
      </c>
      <c r="G44" s="860" t="s">
        <v>4025</v>
      </c>
      <c r="H44" s="513">
        <v>350000</v>
      </c>
      <c r="I44" s="1279">
        <v>0</v>
      </c>
      <c r="J44" s="1280">
        <f>H44+I44</f>
        <v>350000</v>
      </c>
      <c r="M44" s="868"/>
    </row>
    <row r="45" spans="1:13" ht="15.75" thickBot="1">
      <c r="A45" s="410"/>
      <c r="B45" s="212"/>
      <c r="C45" s="326"/>
      <c r="D45" s="212"/>
      <c r="E45" s="411"/>
      <c r="F45" s="1204" t="s">
        <v>4347</v>
      </c>
      <c r="G45" s="1228"/>
      <c r="H45" s="401">
        <f>SUM(H37:H44)</f>
        <v>5310000</v>
      </c>
      <c r="I45" s="401">
        <f>SUM(I37:I44)</f>
        <v>0</v>
      </c>
      <c r="J45" s="409">
        <f>SUM(J37:J44)</f>
        <v>5310000</v>
      </c>
      <c r="M45" s="868"/>
    </row>
    <row r="46" spans="1:13" ht="33" customHeight="1" thickBot="1">
      <c r="A46" s="307"/>
      <c r="B46" s="312"/>
      <c r="C46" s="345"/>
      <c r="D46" s="346"/>
      <c r="E46" s="313"/>
      <c r="F46" s="1243" t="s">
        <v>4578</v>
      </c>
      <c r="G46" s="1244"/>
      <c r="H46" s="344">
        <f>H45</f>
        <v>5310000</v>
      </c>
      <c r="I46" s="344">
        <f>I45</f>
        <v>0</v>
      </c>
      <c r="J46" s="344">
        <f>J45</f>
        <v>5310000</v>
      </c>
      <c r="K46" s="672"/>
      <c r="M46" s="868"/>
    </row>
    <row r="47" spans="1:13" ht="34.5" customHeight="1" thickBot="1">
      <c r="C47" s="213"/>
      <c r="D47" s="210"/>
      <c r="G47" s="222"/>
      <c r="M47" s="868"/>
    </row>
    <row r="48" spans="1:13" ht="29.25" thickBot="1">
      <c r="A48" s="314">
        <v>4</v>
      </c>
      <c r="B48" s="314"/>
      <c r="C48" s="315"/>
      <c r="D48" s="316"/>
      <c r="E48" s="316"/>
      <c r="F48" s="316"/>
      <c r="G48" s="317" t="s">
        <v>4749</v>
      </c>
      <c r="H48" s="318"/>
      <c r="I48" s="319"/>
      <c r="J48" s="320"/>
      <c r="M48" s="868"/>
    </row>
    <row r="49" spans="1:14" ht="28.5">
      <c r="A49" s="321"/>
      <c r="B49" s="212"/>
      <c r="C49" s="326" t="s">
        <v>3598</v>
      </c>
      <c r="D49" s="215"/>
      <c r="E49" s="773"/>
      <c r="F49" s="340"/>
      <c r="G49" s="221" t="s">
        <v>4403</v>
      </c>
      <c r="H49" s="332"/>
      <c r="I49" s="279"/>
      <c r="J49" s="334"/>
      <c r="M49" s="868"/>
    </row>
    <row r="50" spans="1:14">
      <c r="A50" s="305"/>
      <c r="B50" s="212"/>
      <c r="C50" s="326" t="s">
        <v>4000</v>
      </c>
      <c r="D50" s="215"/>
      <c r="E50" s="311"/>
      <c r="F50" s="340"/>
      <c r="G50" s="221" t="s">
        <v>4001</v>
      </c>
      <c r="H50" s="332"/>
      <c r="I50" s="279"/>
      <c r="J50" s="334"/>
      <c r="M50" s="868"/>
    </row>
    <row r="51" spans="1:14" ht="15.75" thickBot="1">
      <c r="A51" s="305"/>
      <c r="B51" s="212"/>
      <c r="C51" s="326"/>
      <c r="D51" s="212">
        <v>330</v>
      </c>
      <c r="E51" s="328"/>
      <c r="F51" s="341"/>
      <c r="G51" s="217" t="s">
        <v>129</v>
      </c>
      <c r="H51" s="332"/>
      <c r="I51" s="279"/>
      <c r="J51" s="334"/>
      <c r="M51" s="868"/>
    </row>
    <row r="52" spans="1:14">
      <c r="A52" s="305"/>
      <c r="B52" s="212"/>
      <c r="C52" s="329" t="s">
        <v>4000</v>
      </c>
      <c r="D52" s="212">
        <v>330</v>
      </c>
      <c r="E52" s="212">
        <v>21</v>
      </c>
      <c r="F52" s="1266">
        <v>411</v>
      </c>
      <c r="G52" s="555" t="s">
        <v>4023</v>
      </c>
      <c r="H52" s="500">
        <v>1500000</v>
      </c>
      <c r="I52" s="1267">
        <v>0</v>
      </c>
      <c r="J52" s="1268">
        <f t="shared" ref="J52:J58" si="2">SUM(H52:I52)</f>
        <v>1500000</v>
      </c>
      <c r="M52" s="868"/>
    </row>
    <row r="53" spans="1:14">
      <c r="A53" s="305"/>
      <c r="B53" s="212"/>
      <c r="C53" s="329" t="s">
        <v>4000</v>
      </c>
      <c r="D53" s="212">
        <v>330</v>
      </c>
      <c r="E53" s="212">
        <v>22</v>
      </c>
      <c r="F53" s="1281">
        <v>412</v>
      </c>
      <c r="G53" s="1282" t="s">
        <v>3759</v>
      </c>
      <c r="H53" s="494">
        <v>250000</v>
      </c>
      <c r="I53" s="1255">
        <v>0</v>
      </c>
      <c r="J53" s="1271">
        <f t="shared" si="2"/>
        <v>250000</v>
      </c>
      <c r="M53" s="868"/>
    </row>
    <row r="54" spans="1:14">
      <c r="A54" s="305"/>
      <c r="B54" s="212"/>
      <c r="C54" s="329" t="s">
        <v>4000</v>
      </c>
      <c r="D54" s="212">
        <v>330</v>
      </c>
      <c r="E54" s="212">
        <v>23</v>
      </c>
      <c r="F54" s="1281">
        <v>421</v>
      </c>
      <c r="G54" s="1283" t="s">
        <v>3772</v>
      </c>
      <c r="H54" s="494">
        <v>50000</v>
      </c>
      <c r="I54" s="1255">
        <v>0</v>
      </c>
      <c r="J54" s="1271">
        <f t="shared" si="2"/>
        <v>50000</v>
      </c>
      <c r="M54" s="868"/>
    </row>
    <row r="55" spans="1:14">
      <c r="A55" s="305"/>
      <c r="B55" s="212"/>
      <c r="C55" s="329" t="s">
        <v>4000</v>
      </c>
      <c r="D55" s="212">
        <v>330</v>
      </c>
      <c r="E55" s="212">
        <v>24</v>
      </c>
      <c r="F55" s="1281">
        <v>422</v>
      </c>
      <c r="G55" s="1283" t="s">
        <v>3773</v>
      </c>
      <c r="H55" s="494">
        <v>80000</v>
      </c>
      <c r="I55" s="1255">
        <v>0</v>
      </c>
      <c r="J55" s="1271">
        <f t="shared" si="2"/>
        <v>80000</v>
      </c>
      <c r="M55" s="868"/>
    </row>
    <row r="56" spans="1:14">
      <c r="A56" s="305"/>
      <c r="B56" s="212"/>
      <c r="C56" s="329" t="s">
        <v>4000</v>
      </c>
      <c r="D56" s="212">
        <v>330</v>
      </c>
      <c r="E56" s="212">
        <v>25</v>
      </c>
      <c r="F56" s="1281">
        <v>423</v>
      </c>
      <c r="G56" s="1283" t="s">
        <v>3774</v>
      </c>
      <c r="H56" s="494">
        <v>1000000</v>
      </c>
      <c r="I56" s="1255">
        <v>0</v>
      </c>
      <c r="J56" s="1271">
        <f t="shared" si="2"/>
        <v>1000000</v>
      </c>
      <c r="M56" s="868"/>
    </row>
    <row r="57" spans="1:14">
      <c r="A57" s="852"/>
      <c r="B57" s="212"/>
      <c r="C57" s="329" t="s">
        <v>4000</v>
      </c>
      <c r="D57" s="212">
        <v>330</v>
      </c>
      <c r="E57" s="212">
        <v>26</v>
      </c>
      <c r="F57" s="1284">
        <v>426</v>
      </c>
      <c r="G57" s="1285" t="s">
        <v>3780</v>
      </c>
      <c r="H57" s="513">
        <v>60000</v>
      </c>
      <c r="I57" s="1280">
        <v>0</v>
      </c>
      <c r="J57" s="1286">
        <f t="shared" si="2"/>
        <v>60000</v>
      </c>
      <c r="M57" s="868"/>
    </row>
    <row r="58" spans="1:14" ht="15.75" thickBot="1">
      <c r="A58" s="305"/>
      <c r="B58" s="212"/>
      <c r="C58" s="329" t="s">
        <v>4000</v>
      </c>
      <c r="D58" s="212">
        <v>330</v>
      </c>
      <c r="E58" s="212">
        <v>27</v>
      </c>
      <c r="F58" s="1281">
        <v>465</v>
      </c>
      <c r="G58" s="1283" t="s">
        <v>4316</v>
      </c>
      <c r="H58" s="494">
        <v>160000</v>
      </c>
      <c r="I58" s="1280">
        <v>0</v>
      </c>
      <c r="J58" s="1271">
        <f t="shared" si="2"/>
        <v>160000</v>
      </c>
      <c r="M58" s="868"/>
    </row>
    <row r="59" spans="1:14" ht="15.75" thickBot="1">
      <c r="A59" s="410"/>
      <c r="B59" s="212"/>
      <c r="C59" s="329"/>
      <c r="D59" s="212"/>
      <c r="E59" s="411"/>
      <c r="F59" s="1191" t="s">
        <v>4315</v>
      </c>
      <c r="G59" s="1211"/>
      <c r="H59" s="401">
        <f>SUM(H52:H58)</f>
        <v>3100000</v>
      </c>
      <c r="I59" s="401">
        <f>SUM(I52:I58)</f>
        <v>0</v>
      </c>
      <c r="J59" s="409">
        <f>SUM(J52:J58)</f>
        <v>3100000</v>
      </c>
      <c r="M59" s="868"/>
    </row>
    <row r="60" spans="1:14" ht="33.75" customHeight="1" thickBot="1">
      <c r="A60" s="307"/>
      <c r="B60" s="312"/>
      <c r="C60" s="330"/>
      <c r="D60" s="312"/>
      <c r="E60" s="313"/>
      <c r="F60" s="1243" t="s">
        <v>4579</v>
      </c>
      <c r="G60" s="1244"/>
      <c r="H60" s="344">
        <f>H59</f>
        <v>3100000</v>
      </c>
      <c r="I60" s="344">
        <f>I59</f>
        <v>0</v>
      </c>
      <c r="J60" s="344">
        <f>J59</f>
        <v>3100000</v>
      </c>
      <c r="K60" s="672"/>
      <c r="M60" s="868"/>
    </row>
    <row r="61" spans="1:14" s="216" customFormat="1" ht="29.25" customHeight="1" thickBot="1">
      <c r="A61" s="212"/>
      <c r="B61" s="212"/>
      <c r="C61" s="329"/>
      <c r="D61" s="212"/>
      <c r="E61" s="212"/>
      <c r="F61" s="224"/>
      <c r="G61" s="223"/>
      <c r="H61" s="278"/>
      <c r="I61" s="279"/>
      <c r="J61" s="279"/>
      <c r="K61" s="646"/>
      <c r="L61" s="527"/>
      <c r="M61" s="868"/>
      <c r="N61" s="646"/>
    </row>
    <row r="62" spans="1:14" ht="24" customHeight="1" thickBot="1">
      <c r="A62" s="861">
        <v>5</v>
      </c>
      <c r="B62" s="861"/>
      <c r="C62" s="862"/>
      <c r="D62" s="863"/>
      <c r="E62" s="863"/>
      <c r="F62" s="863"/>
      <c r="G62" s="864" t="s">
        <v>4258</v>
      </c>
      <c r="H62" s="865"/>
      <c r="I62" s="866"/>
      <c r="J62" s="867"/>
      <c r="M62" s="868"/>
    </row>
    <row r="63" spans="1:14" s="527" customFormat="1" ht="18" customHeight="1">
      <c r="A63" s="321"/>
      <c r="B63" s="322"/>
      <c r="C63" s="323" t="s">
        <v>3586</v>
      </c>
      <c r="D63" s="324"/>
      <c r="E63" s="322"/>
      <c r="F63" s="649"/>
      <c r="G63" s="336" t="s">
        <v>4042</v>
      </c>
      <c r="H63" s="331"/>
      <c r="I63" s="338"/>
      <c r="J63" s="537"/>
      <c r="K63" s="646"/>
      <c r="M63" s="868"/>
      <c r="N63" s="646"/>
    </row>
    <row r="64" spans="1:14" s="527" customFormat="1" ht="19.5" customHeight="1">
      <c r="A64" s="852"/>
      <c r="B64" s="212"/>
      <c r="C64" s="326" t="s">
        <v>4263</v>
      </c>
      <c r="D64" s="215"/>
      <c r="E64" s="212"/>
      <c r="F64" s="340"/>
      <c r="G64" s="222" t="s">
        <v>4370</v>
      </c>
      <c r="H64" s="332"/>
      <c r="I64" s="279"/>
      <c r="J64" s="334"/>
      <c r="K64" s="646"/>
      <c r="M64" s="868"/>
      <c r="N64" s="646"/>
    </row>
    <row r="65" spans="1:14" s="527" customFormat="1" ht="18" customHeight="1" thickBot="1">
      <c r="A65" s="852"/>
      <c r="B65" s="212"/>
      <c r="C65" s="326"/>
      <c r="D65" s="427" t="s">
        <v>3868</v>
      </c>
      <c r="E65" s="212"/>
      <c r="F65" s="650"/>
      <c r="G65" s="570" t="s">
        <v>97</v>
      </c>
      <c r="H65" s="342"/>
      <c r="I65" s="309"/>
      <c r="J65" s="343"/>
      <c r="K65" s="646"/>
      <c r="M65" s="868"/>
      <c r="N65" s="646"/>
    </row>
    <row r="66" spans="1:14" s="527" customFormat="1" ht="17.25" customHeight="1" thickBot="1">
      <c r="A66" s="852"/>
      <c r="B66" s="212"/>
      <c r="C66" s="329" t="s">
        <v>4263</v>
      </c>
      <c r="D66" s="427" t="s">
        <v>3868</v>
      </c>
      <c r="E66" s="212">
        <v>28</v>
      </c>
      <c r="F66" s="676">
        <v>423</v>
      </c>
      <c r="G66" s="1287" t="s">
        <v>4317</v>
      </c>
      <c r="H66" s="1288">
        <v>290000</v>
      </c>
      <c r="I66" s="1289">
        <v>0</v>
      </c>
      <c r="J66" s="1290">
        <f>H66+I66</f>
        <v>290000</v>
      </c>
      <c r="K66" s="646"/>
      <c r="M66" s="868"/>
      <c r="N66" s="646"/>
    </row>
    <row r="67" spans="1:14" s="527" customFormat="1" ht="18.75" customHeight="1">
      <c r="A67" s="852"/>
      <c r="B67" s="212"/>
      <c r="C67" s="329" t="s">
        <v>4263</v>
      </c>
      <c r="D67" s="427" t="s">
        <v>3868</v>
      </c>
      <c r="E67" s="212">
        <v>29</v>
      </c>
      <c r="F67" s="1291">
        <v>426</v>
      </c>
      <c r="G67" s="1292" t="s">
        <v>4591</v>
      </c>
      <c r="H67" s="1293">
        <v>130000</v>
      </c>
      <c r="I67" s="1294">
        <v>0</v>
      </c>
      <c r="J67" s="1271">
        <f>H67+I67</f>
        <v>130000</v>
      </c>
      <c r="K67" s="646"/>
      <c r="M67" s="868"/>
      <c r="N67" s="646"/>
    </row>
    <row r="68" spans="1:14" s="527" customFormat="1" ht="17.25" customHeight="1">
      <c r="A68" s="852"/>
      <c r="B68" s="212"/>
      <c r="C68" s="329" t="s">
        <v>4263</v>
      </c>
      <c r="D68" s="427" t="s">
        <v>3868</v>
      </c>
      <c r="E68" s="212">
        <v>30</v>
      </c>
      <c r="F68" s="1295">
        <v>472</v>
      </c>
      <c r="G68" s="1296" t="s">
        <v>4722</v>
      </c>
      <c r="H68" s="1293">
        <v>4200000</v>
      </c>
      <c r="I68" s="1294">
        <v>0</v>
      </c>
      <c r="J68" s="1271">
        <f>SUM(H68:I68)</f>
        <v>4200000</v>
      </c>
      <c r="K68" s="646"/>
      <c r="M68" s="868"/>
      <c r="N68" s="646"/>
    </row>
    <row r="69" spans="1:14" s="527" customFormat="1" ht="34.5" customHeight="1" thickBot="1">
      <c r="A69" s="852"/>
      <c r="B69" s="212"/>
      <c r="C69" s="329" t="s">
        <v>4263</v>
      </c>
      <c r="D69" s="427" t="s">
        <v>3868</v>
      </c>
      <c r="E69" s="212">
        <v>31</v>
      </c>
      <c r="F69" s="1297">
        <v>481</v>
      </c>
      <c r="G69" s="1298" t="s">
        <v>4636</v>
      </c>
      <c r="H69" s="1299">
        <v>1400000</v>
      </c>
      <c r="I69" s="1300">
        <v>0</v>
      </c>
      <c r="J69" s="1301">
        <f>SUM(H69:I69)</f>
        <v>1400000</v>
      </c>
      <c r="K69" s="1261"/>
      <c r="M69" s="868"/>
      <c r="N69" s="646"/>
    </row>
    <row r="70" spans="1:14" s="527" customFormat="1" ht="33.75" customHeight="1" thickBot="1">
      <c r="A70" s="852"/>
      <c r="B70" s="212"/>
      <c r="C70" s="329"/>
      <c r="D70" s="427"/>
      <c r="E70" s="212"/>
      <c r="F70" s="1189" t="s">
        <v>4598</v>
      </c>
      <c r="G70" s="1190"/>
      <c r="H70" s="482">
        <f>SUM(H66:H69)</f>
        <v>6020000</v>
      </c>
      <c r="I70" s="482">
        <f>SUM(I66:I69)</f>
        <v>0</v>
      </c>
      <c r="J70" s="482">
        <f>SUM(J66:J69)</f>
        <v>6020000</v>
      </c>
      <c r="K70" s="646"/>
      <c r="M70" s="868"/>
      <c r="N70" s="646"/>
    </row>
    <row r="71" spans="1:14" s="527" customFormat="1" ht="12.75" customHeight="1" thickBot="1">
      <c r="A71" s="870"/>
      <c r="B71" s="405"/>
      <c r="C71" s="524"/>
      <c r="D71" s="378"/>
      <c r="E71" s="378"/>
      <c r="F71" s="782"/>
      <c r="G71" s="357"/>
      <c r="H71" s="873"/>
      <c r="I71" s="535"/>
      <c r="J71" s="659"/>
      <c r="K71" s="646"/>
      <c r="M71" s="868"/>
      <c r="N71" s="646"/>
    </row>
    <row r="72" spans="1:14" s="527" customFormat="1" ht="19.5" customHeight="1">
      <c r="A72" s="852"/>
      <c r="B72" s="212"/>
      <c r="C72" s="326" t="s">
        <v>4425</v>
      </c>
      <c r="D72" s="215"/>
      <c r="E72" s="853"/>
      <c r="F72" s="649"/>
      <c r="G72" s="336" t="s">
        <v>4485</v>
      </c>
      <c r="H72" s="331"/>
      <c r="I72" s="338"/>
      <c r="J72" s="333"/>
      <c r="K72" s="646"/>
      <c r="M72" s="868"/>
      <c r="N72" s="646"/>
    </row>
    <row r="73" spans="1:14" s="527" customFormat="1" ht="19.5" customHeight="1" thickBot="1">
      <c r="A73" s="852"/>
      <c r="B73" s="212"/>
      <c r="C73" s="326"/>
      <c r="D73" s="427" t="s">
        <v>3868</v>
      </c>
      <c r="E73" s="853"/>
      <c r="F73" s="340"/>
      <c r="G73" s="218" t="s">
        <v>4606</v>
      </c>
      <c r="H73" s="332"/>
      <c r="I73" s="279"/>
      <c r="J73" s="334"/>
      <c r="K73" s="646"/>
      <c r="M73" s="868"/>
      <c r="N73" s="646"/>
    </row>
    <row r="74" spans="1:14" s="527" customFormat="1" ht="16.5" customHeight="1" thickBot="1">
      <c r="A74" s="852"/>
      <c r="B74" s="212"/>
      <c r="C74" s="329" t="s">
        <v>4425</v>
      </c>
      <c r="D74" s="427" t="s">
        <v>3868</v>
      </c>
      <c r="E74" s="853">
        <v>32</v>
      </c>
      <c r="F74" s="554">
        <v>472</v>
      </c>
      <c r="G74" s="488" t="s">
        <v>4640</v>
      </c>
      <c r="H74" s="502">
        <v>4600000</v>
      </c>
      <c r="I74" s="535">
        <v>0</v>
      </c>
      <c r="J74" s="536">
        <f>SUM(H74:I74)</f>
        <v>4600000</v>
      </c>
      <c r="K74" s="646"/>
      <c r="M74" s="868"/>
      <c r="N74" s="646"/>
    </row>
    <row r="75" spans="1:14" s="527" customFormat="1" ht="32.25" customHeight="1" thickBot="1">
      <c r="A75" s="852"/>
      <c r="B75" s="212"/>
      <c r="C75" s="326"/>
      <c r="D75" s="215"/>
      <c r="E75" s="853"/>
      <c r="F75" s="1189" t="s">
        <v>4599</v>
      </c>
      <c r="G75" s="1190"/>
      <c r="H75" s="401">
        <f>SUM(H74)</f>
        <v>4600000</v>
      </c>
      <c r="I75" s="402">
        <f>SUM(I74)</f>
        <v>0</v>
      </c>
      <c r="J75" s="403">
        <f>SUM(J74)</f>
        <v>4600000</v>
      </c>
      <c r="K75" s="646"/>
      <c r="M75" s="868"/>
      <c r="N75" s="646"/>
    </row>
    <row r="76" spans="1:14" s="527" customFormat="1" ht="11.25" customHeight="1" thickBot="1">
      <c r="A76" s="916"/>
      <c r="B76" s="917"/>
      <c r="C76" s="918"/>
      <c r="D76" s="919"/>
      <c r="E76" s="917"/>
      <c r="F76" s="920"/>
      <c r="G76" s="921"/>
      <c r="H76" s="922"/>
      <c r="I76" s="923"/>
      <c r="J76" s="924"/>
      <c r="K76" s="646"/>
      <c r="M76" s="868"/>
      <c r="N76" s="646"/>
    </row>
    <row r="77" spans="1:14" s="527" customFormat="1" ht="32.25" customHeight="1">
      <c r="A77" s="523"/>
      <c r="B77" s="378"/>
      <c r="C77" s="404" t="s">
        <v>4187</v>
      </c>
      <c r="D77" s="378"/>
      <c r="E77" s="378"/>
      <c r="F77" s="590"/>
      <c r="G77" s="588" t="s">
        <v>4676</v>
      </c>
      <c r="H77" s="573"/>
      <c r="I77" s="574"/>
      <c r="J77" s="573"/>
      <c r="K77" s="646"/>
      <c r="M77" s="868"/>
      <c r="N77" s="646"/>
    </row>
    <row r="78" spans="1:14" s="527" customFormat="1" ht="15" customHeight="1" thickBot="1">
      <c r="A78" s="523"/>
      <c r="B78" s="378"/>
      <c r="C78" s="524"/>
      <c r="D78" s="427" t="s">
        <v>3868</v>
      </c>
      <c r="E78" s="603"/>
      <c r="F78" s="538"/>
      <c r="G78" s="926" t="s">
        <v>97</v>
      </c>
      <c r="H78" s="572"/>
      <c r="I78" s="407"/>
      <c r="J78" s="572"/>
      <c r="K78" s="646"/>
      <c r="M78" s="868"/>
      <c r="N78" s="646"/>
    </row>
    <row r="79" spans="1:14" s="527" customFormat="1" ht="21.75" customHeight="1">
      <c r="A79" s="911"/>
      <c r="B79" s="212"/>
      <c r="C79" s="524" t="s">
        <v>4187</v>
      </c>
      <c r="D79" s="427" t="s">
        <v>3868</v>
      </c>
      <c r="E79" s="925" t="s">
        <v>4674</v>
      </c>
      <c r="F79" s="554">
        <v>511</v>
      </c>
      <c r="G79" s="929" t="s">
        <v>4679</v>
      </c>
      <c r="H79" s="707">
        <v>19800000</v>
      </c>
      <c r="I79" s="1302">
        <v>0</v>
      </c>
      <c r="J79" s="1303">
        <f>H79+I79</f>
        <v>19800000</v>
      </c>
      <c r="K79" s="646"/>
      <c r="M79" s="868"/>
      <c r="N79" s="646"/>
    </row>
    <row r="80" spans="1:14" s="527" customFormat="1" ht="21.75" customHeight="1">
      <c r="A80" s="1117"/>
      <c r="B80" s="212"/>
      <c r="C80" s="524" t="s">
        <v>4187</v>
      </c>
      <c r="D80" s="427" t="s">
        <v>3868</v>
      </c>
      <c r="E80" s="925" t="s">
        <v>4675</v>
      </c>
      <c r="F80" s="575">
        <v>512</v>
      </c>
      <c r="G80" s="1304" t="s">
        <v>4720</v>
      </c>
      <c r="H80" s="1305">
        <v>0</v>
      </c>
      <c r="I80" s="1306">
        <v>0</v>
      </c>
      <c r="J80" s="1307">
        <v>0</v>
      </c>
      <c r="K80" s="646"/>
      <c r="M80" s="868"/>
      <c r="N80" s="646"/>
    </row>
    <row r="81" spans="1:14" s="527" customFormat="1" ht="25.5" customHeight="1">
      <c r="A81" s="911"/>
      <c r="B81" s="212"/>
      <c r="C81" s="524" t="s">
        <v>4187</v>
      </c>
      <c r="D81" s="427" t="s">
        <v>3868</v>
      </c>
      <c r="E81" s="925" t="s">
        <v>4721</v>
      </c>
      <c r="F81" s="927">
        <v>423</v>
      </c>
      <c r="G81" s="1308" t="s">
        <v>3774</v>
      </c>
      <c r="H81" s="708">
        <v>140000</v>
      </c>
      <c r="I81" s="1309">
        <v>0</v>
      </c>
      <c r="J81" s="1310">
        <f>H81+I81</f>
        <v>140000</v>
      </c>
      <c r="K81" s="646"/>
      <c r="M81" s="868"/>
      <c r="N81" s="646"/>
    </row>
    <row r="82" spans="1:14" s="527" customFormat="1" ht="25.5" customHeight="1">
      <c r="A82" s="911"/>
      <c r="B82" s="212"/>
      <c r="C82" s="524" t="s">
        <v>4187</v>
      </c>
      <c r="D82" s="427" t="s">
        <v>3868</v>
      </c>
      <c r="E82" s="925" t="s">
        <v>4677</v>
      </c>
      <c r="F82" s="702">
        <v>424</v>
      </c>
      <c r="G82" s="932" t="s">
        <v>3776</v>
      </c>
      <c r="H82" s="710">
        <v>500000</v>
      </c>
      <c r="I82" s="1311">
        <v>0</v>
      </c>
      <c r="J82" s="1312">
        <f>H82+I82</f>
        <v>500000</v>
      </c>
      <c r="K82" s="646"/>
      <c r="M82" s="1120"/>
      <c r="N82" s="646"/>
    </row>
    <row r="83" spans="1:14" s="527" customFormat="1" ht="32.25" customHeight="1" thickBot="1">
      <c r="A83" s="911"/>
      <c r="B83" s="212"/>
      <c r="C83" s="524" t="s">
        <v>4187</v>
      </c>
      <c r="D83" s="427" t="s">
        <v>3868</v>
      </c>
      <c r="E83" s="525" t="s">
        <v>4683</v>
      </c>
      <c r="F83" s="928">
        <v>464</v>
      </c>
      <c r="G83" s="1313" t="s">
        <v>4678</v>
      </c>
      <c r="H83" s="1314">
        <v>0</v>
      </c>
      <c r="I83" s="1315">
        <v>0</v>
      </c>
      <c r="J83" s="1316">
        <f>H83+I83</f>
        <v>0</v>
      </c>
      <c r="K83" s="646"/>
      <c r="M83" s="868"/>
      <c r="N83" s="646"/>
    </row>
    <row r="84" spans="1:14" s="527" customFormat="1" ht="52.5" customHeight="1" thickBot="1">
      <c r="A84" s="911"/>
      <c r="B84" s="212"/>
      <c r="C84" s="524"/>
      <c r="D84" s="212"/>
      <c r="E84" s="212"/>
      <c r="F84" s="1193" t="s">
        <v>4719</v>
      </c>
      <c r="G84" s="1194"/>
      <c r="H84" s="482">
        <f>SUM(H79:H83)</f>
        <v>20440000</v>
      </c>
      <c r="I84" s="482">
        <f>SUM(I79:I83)</f>
        <v>0</v>
      </c>
      <c r="J84" s="482">
        <f>SUM(J79:J83)</f>
        <v>20440000</v>
      </c>
      <c r="K84" s="646"/>
      <c r="M84" s="868"/>
      <c r="N84" s="646"/>
    </row>
    <row r="85" spans="1:14" s="527" customFormat="1" ht="12.75" customHeight="1" thickBot="1">
      <c r="A85" s="523"/>
      <c r="B85" s="378"/>
      <c r="C85" s="524"/>
      <c r="D85" s="525"/>
      <c r="E85" s="378"/>
      <c r="F85" s="671"/>
      <c r="G85" s="741"/>
      <c r="H85" s="761"/>
      <c r="I85" s="874"/>
      <c r="J85" s="875"/>
      <c r="K85" s="646"/>
      <c r="M85" s="868"/>
      <c r="N85" s="646"/>
    </row>
    <row r="86" spans="1:14" s="527" customFormat="1" ht="18" customHeight="1">
      <c r="A86" s="852"/>
      <c r="B86" s="212"/>
      <c r="C86" s="326" t="s">
        <v>3982</v>
      </c>
      <c r="D86" s="215"/>
      <c r="E86" s="212"/>
      <c r="F86" s="649"/>
      <c r="G86" s="336" t="s">
        <v>4478</v>
      </c>
      <c r="H86" s="331"/>
      <c r="I86" s="338"/>
      <c r="J86" s="333"/>
      <c r="K86" s="646"/>
      <c r="M86" s="868"/>
      <c r="N86" s="646"/>
    </row>
    <row r="87" spans="1:14" s="527" customFormat="1" ht="31.5" customHeight="1" thickBot="1">
      <c r="A87" s="852"/>
      <c r="B87" s="212"/>
      <c r="C87" s="329"/>
      <c r="D87" s="427" t="s">
        <v>3874</v>
      </c>
      <c r="E87" s="212"/>
      <c r="F87" s="650"/>
      <c r="G87" s="570" t="s">
        <v>4259</v>
      </c>
      <c r="H87" s="342"/>
      <c r="I87" s="309"/>
      <c r="J87" s="343"/>
      <c r="K87" s="646"/>
      <c r="M87" s="868"/>
      <c r="N87" s="646"/>
    </row>
    <row r="88" spans="1:14" s="527" customFormat="1" ht="20.25" customHeight="1">
      <c r="A88" s="852"/>
      <c r="B88" s="212"/>
      <c r="C88" s="329" t="s">
        <v>3982</v>
      </c>
      <c r="D88" s="427" t="s">
        <v>3874</v>
      </c>
      <c r="E88" s="212">
        <v>33</v>
      </c>
      <c r="F88" s="554">
        <v>4632</v>
      </c>
      <c r="G88" s="488" t="s">
        <v>4281</v>
      </c>
      <c r="H88" s="500">
        <v>200000</v>
      </c>
      <c r="I88" s="1267">
        <v>0</v>
      </c>
      <c r="J88" s="1268">
        <f>SUM(H88:I88)</f>
        <v>200000</v>
      </c>
      <c r="K88" s="646"/>
      <c r="M88" s="868"/>
      <c r="N88" s="646"/>
    </row>
    <row r="89" spans="1:14" s="527" customFormat="1" ht="19.5" customHeight="1">
      <c r="A89" s="852"/>
      <c r="B89" s="212"/>
      <c r="C89" s="329" t="s">
        <v>3982</v>
      </c>
      <c r="D89" s="427" t="s">
        <v>3874</v>
      </c>
      <c r="E89" s="212">
        <v>34</v>
      </c>
      <c r="F89" s="871">
        <v>4631</v>
      </c>
      <c r="G89" s="1296" t="s">
        <v>4470</v>
      </c>
      <c r="H89" s="494">
        <v>8520000</v>
      </c>
      <c r="I89" s="1294">
        <v>0</v>
      </c>
      <c r="J89" s="1271">
        <f>SUM(H89:I89)</f>
        <v>8520000</v>
      </c>
      <c r="K89" s="646"/>
      <c r="M89" s="868"/>
      <c r="N89" s="646"/>
    </row>
    <row r="90" spans="1:14" s="527" customFormat="1" ht="18" customHeight="1">
      <c r="A90" s="852"/>
      <c r="B90" s="212"/>
      <c r="C90" s="329" t="s">
        <v>3982</v>
      </c>
      <c r="D90" s="427" t="s">
        <v>3874</v>
      </c>
      <c r="E90" s="212">
        <v>35</v>
      </c>
      <c r="F90" s="702">
        <v>4632</v>
      </c>
      <c r="G90" s="1296" t="s">
        <v>4471</v>
      </c>
      <c r="H90" s="513">
        <v>30000</v>
      </c>
      <c r="I90" s="1280">
        <v>0</v>
      </c>
      <c r="J90" s="1286">
        <f>H90+I90</f>
        <v>30000</v>
      </c>
      <c r="K90" s="646"/>
      <c r="M90" s="868"/>
      <c r="N90" s="646"/>
    </row>
    <row r="91" spans="1:14" s="527" customFormat="1" ht="15.75" customHeight="1" thickBot="1">
      <c r="A91" s="852"/>
      <c r="B91" s="212"/>
      <c r="C91" s="329" t="s">
        <v>3982</v>
      </c>
      <c r="D91" s="427" t="s">
        <v>3874</v>
      </c>
      <c r="E91" s="212">
        <v>36</v>
      </c>
      <c r="F91" s="872">
        <v>472</v>
      </c>
      <c r="G91" s="1298" t="s">
        <v>4262</v>
      </c>
      <c r="H91" s="1317">
        <v>150000</v>
      </c>
      <c r="I91" s="1300">
        <v>0</v>
      </c>
      <c r="J91" s="1301">
        <f>SUM(H91:I91)</f>
        <v>150000</v>
      </c>
      <c r="K91" s="646"/>
      <c r="M91" s="868"/>
      <c r="N91" s="646"/>
    </row>
    <row r="92" spans="1:14" s="527" customFormat="1" ht="18.75" customHeight="1" thickBot="1">
      <c r="A92" s="852"/>
      <c r="B92" s="212"/>
      <c r="C92" s="329" t="s">
        <v>3982</v>
      </c>
      <c r="D92" s="427" t="s">
        <v>3874</v>
      </c>
      <c r="E92" s="212">
        <v>37</v>
      </c>
      <c r="F92" s="872">
        <v>481</v>
      </c>
      <c r="G92" s="885" t="s">
        <v>4635</v>
      </c>
      <c r="H92" s="1317">
        <v>5000000</v>
      </c>
      <c r="I92" s="1300">
        <v>6000000</v>
      </c>
      <c r="J92" s="1301">
        <f>SUM(H92:I92)</f>
        <v>11000000</v>
      </c>
      <c r="K92" s="646"/>
      <c r="M92" s="868"/>
      <c r="N92" s="646"/>
    </row>
    <row r="93" spans="1:14" s="527" customFormat="1" ht="67.5" customHeight="1" thickBot="1">
      <c r="A93" s="852"/>
      <c r="B93" s="212"/>
      <c r="C93" s="329"/>
      <c r="D93" s="427"/>
      <c r="E93" s="212"/>
      <c r="F93" s="1193" t="s">
        <v>4725</v>
      </c>
      <c r="G93" s="1194"/>
      <c r="H93" s="482">
        <f>SUM(H88:H92)</f>
        <v>13900000</v>
      </c>
      <c r="I93" s="482">
        <f>SUM(I88:I92)</f>
        <v>6000000</v>
      </c>
      <c r="J93" s="482">
        <f>SUM(J88:J92)</f>
        <v>19900000</v>
      </c>
      <c r="K93" s="646"/>
      <c r="M93" s="868"/>
      <c r="N93" s="646"/>
    </row>
    <row r="94" spans="1:14" s="527" customFormat="1" ht="12" customHeight="1" thickBot="1">
      <c r="A94" s="870"/>
      <c r="B94" s="405"/>
      <c r="C94" s="524"/>
      <c r="D94" s="378"/>
      <c r="E94" s="378"/>
      <c r="F94" s="782"/>
      <c r="G94" s="357"/>
      <c r="H94" s="873"/>
      <c r="I94" s="535"/>
      <c r="J94" s="659"/>
      <c r="K94" s="646"/>
      <c r="M94" s="868"/>
      <c r="N94" s="646"/>
    </row>
    <row r="95" spans="1:14" s="527" customFormat="1" ht="18.75" customHeight="1">
      <c r="A95" s="523"/>
      <c r="B95" s="378"/>
      <c r="C95" s="404" t="s">
        <v>3984</v>
      </c>
      <c r="D95" s="525"/>
      <c r="E95" s="378"/>
      <c r="F95" s="649"/>
      <c r="G95" s="517" t="s">
        <v>4482</v>
      </c>
      <c r="H95" s="331"/>
      <c r="I95" s="338"/>
      <c r="J95" s="333"/>
      <c r="K95" s="646"/>
      <c r="M95" s="868"/>
      <c r="N95" s="646"/>
    </row>
    <row r="96" spans="1:14" s="527" customFormat="1" ht="30.75" customHeight="1" thickBot="1">
      <c r="A96" s="523"/>
      <c r="B96" s="378"/>
      <c r="C96" s="524"/>
      <c r="D96" s="525" t="s">
        <v>3874</v>
      </c>
      <c r="E96" s="378"/>
      <c r="F96" s="567"/>
      <c r="G96" s="519" t="s">
        <v>4259</v>
      </c>
      <c r="H96" s="342"/>
      <c r="I96" s="309"/>
      <c r="J96" s="343"/>
      <c r="K96" s="646"/>
      <c r="M96" s="868"/>
      <c r="N96" s="646"/>
    </row>
    <row r="97" spans="1:14" s="527" customFormat="1" ht="18" customHeight="1" thickBot="1">
      <c r="A97" s="523"/>
      <c r="B97" s="378"/>
      <c r="C97" s="524" t="s">
        <v>3984</v>
      </c>
      <c r="D97" s="525" t="s">
        <v>3874</v>
      </c>
      <c r="E97" s="378">
        <v>38</v>
      </c>
      <c r="F97" s="1266">
        <v>481</v>
      </c>
      <c r="G97" s="516" t="s">
        <v>4635</v>
      </c>
      <c r="H97" s="500">
        <v>5400000</v>
      </c>
      <c r="I97" s="1267">
        <v>0</v>
      </c>
      <c r="J97" s="1268">
        <f>SUM(H97:I97)</f>
        <v>5400000</v>
      </c>
      <c r="K97" s="646"/>
      <c r="M97" s="868"/>
      <c r="N97" s="646"/>
    </row>
    <row r="98" spans="1:14" s="527" customFormat="1" ht="58.5" customHeight="1" thickBot="1">
      <c r="A98" s="523"/>
      <c r="B98" s="378"/>
      <c r="C98" s="524"/>
      <c r="D98" s="525"/>
      <c r="E98" s="378"/>
      <c r="F98" s="1218" t="s">
        <v>4687</v>
      </c>
      <c r="G98" s="1219"/>
      <c r="H98" s="401">
        <f>SUM(H97:H97)</f>
        <v>5400000</v>
      </c>
      <c r="I98" s="402">
        <f>SUM(I97:I97)</f>
        <v>0</v>
      </c>
      <c r="J98" s="401">
        <f>SUM(J97:J97)</f>
        <v>5400000</v>
      </c>
      <c r="K98" s="646"/>
      <c r="M98" s="868"/>
      <c r="N98" s="646"/>
    </row>
    <row r="99" spans="1:14" s="527" customFormat="1" ht="14.25" customHeight="1" thickBot="1">
      <c r="A99" s="870"/>
      <c r="B99" s="405"/>
      <c r="C99" s="524"/>
      <c r="D99" s="378"/>
      <c r="E99" s="378"/>
      <c r="F99" s="782"/>
      <c r="G99" s="357"/>
      <c r="H99" s="873"/>
      <c r="I99" s="535"/>
      <c r="J99" s="659"/>
      <c r="K99" s="646"/>
      <c r="M99" s="868"/>
      <c r="N99" s="646"/>
    </row>
    <row r="100" spans="1:14" s="527" customFormat="1" ht="33" customHeight="1">
      <c r="A100" s="852"/>
      <c r="B100" s="212"/>
      <c r="C100" s="326" t="s">
        <v>3987</v>
      </c>
      <c r="D100" s="215"/>
      <c r="E100" s="853"/>
      <c r="F100" s="649"/>
      <c r="G100" s="336" t="s">
        <v>4404</v>
      </c>
      <c r="H100" s="331"/>
      <c r="I100" s="338"/>
      <c r="J100" s="333"/>
      <c r="K100" s="646"/>
      <c r="M100" s="868"/>
      <c r="N100" s="646"/>
    </row>
    <row r="101" spans="1:14" s="527" customFormat="1" ht="31.5" customHeight="1" thickBot="1">
      <c r="A101" s="852"/>
      <c r="B101" s="212"/>
      <c r="C101" s="326"/>
      <c r="D101" s="427" t="s">
        <v>3878</v>
      </c>
      <c r="E101" s="853"/>
      <c r="F101" s="340"/>
      <c r="G101" s="218" t="s">
        <v>102</v>
      </c>
      <c r="H101" s="332"/>
      <c r="I101" s="279"/>
      <c r="J101" s="334"/>
      <c r="K101" s="646"/>
      <c r="M101" s="868"/>
      <c r="N101" s="646"/>
    </row>
    <row r="102" spans="1:14" s="527" customFormat="1" ht="16.5" customHeight="1" thickBot="1">
      <c r="A102" s="852"/>
      <c r="B102" s="212"/>
      <c r="C102" s="329" t="s">
        <v>3987</v>
      </c>
      <c r="D102" s="427" t="s">
        <v>3878</v>
      </c>
      <c r="E102" s="853">
        <v>39</v>
      </c>
      <c r="F102" s="534">
        <v>481</v>
      </c>
      <c r="G102" s="492" t="s">
        <v>4261</v>
      </c>
      <c r="H102" s="502">
        <v>5350000</v>
      </c>
      <c r="I102" s="535">
        <v>0</v>
      </c>
      <c r="J102" s="536">
        <f>SUM(H102:I102)</f>
        <v>5350000</v>
      </c>
      <c r="K102" s="646"/>
      <c r="M102" s="868"/>
      <c r="N102" s="646"/>
    </row>
    <row r="103" spans="1:14" s="527" customFormat="1" ht="36" customHeight="1" thickBot="1">
      <c r="A103" s="852"/>
      <c r="B103" s="212"/>
      <c r="C103" s="326"/>
      <c r="D103" s="215"/>
      <c r="E103" s="853"/>
      <c r="F103" s="1189" t="s">
        <v>4601</v>
      </c>
      <c r="G103" s="1190"/>
      <c r="H103" s="401">
        <f>SUM(H102)</f>
        <v>5350000</v>
      </c>
      <c r="I103" s="402">
        <f>SUM(I102)</f>
        <v>0</v>
      </c>
      <c r="J103" s="403">
        <f>SUM(J102)</f>
        <v>5350000</v>
      </c>
      <c r="K103" s="646"/>
      <c r="M103" s="868"/>
      <c r="N103" s="646"/>
    </row>
    <row r="104" spans="1:14" s="527" customFormat="1" ht="9.75" customHeight="1" thickBot="1">
      <c r="A104" s="852"/>
      <c r="B104" s="212"/>
      <c r="C104" s="326"/>
      <c r="D104" s="215"/>
      <c r="E104" s="853"/>
      <c r="F104" s="212"/>
      <c r="G104" s="222"/>
      <c r="H104" s="278"/>
      <c r="I104" s="279"/>
      <c r="J104" s="306"/>
      <c r="K104" s="646"/>
      <c r="M104" s="868"/>
      <c r="N104" s="646"/>
    </row>
    <row r="105" spans="1:14" s="527" customFormat="1" ht="15" customHeight="1">
      <c r="A105" s="852"/>
      <c r="B105" s="212"/>
      <c r="C105" s="326" t="s">
        <v>4426</v>
      </c>
      <c r="D105" s="215"/>
      <c r="E105" s="853"/>
      <c r="F105" s="649"/>
      <c r="G105" s="336" t="s">
        <v>4483</v>
      </c>
      <c r="H105" s="331"/>
      <c r="I105" s="338"/>
      <c r="J105" s="333"/>
      <c r="K105" s="646"/>
      <c r="M105" s="868"/>
      <c r="N105" s="646"/>
    </row>
    <row r="106" spans="1:14" s="527" customFormat="1" ht="33.75" customHeight="1" thickBot="1">
      <c r="A106" s="852"/>
      <c r="B106" s="212"/>
      <c r="C106" s="326"/>
      <c r="D106" s="427" t="s">
        <v>3878</v>
      </c>
      <c r="E106" s="853"/>
      <c r="F106" s="340"/>
      <c r="G106" s="218" t="s">
        <v>102</v>
      </c>
      <c r="H106" s="332"/>
      <c r="I106" s="279"/>
      <c r="J106" s="334"/>
      <c r="K106" s="646"/>
      <c r="M106" s="868"/>
      <c r="N106" s="646"/>
    </row>
    <row r="107" spans="1:14" s="527" customFormat="1" ht="31.5" customHeight="1">
      <c r="A107" s="852"/>
      <c r="B107" s="212"/>
      <c r="C107" s="329" t="s">
        <v>4426</v>
      </c>
      <c r="D107" s="427" t="s">
        <v>3878</v>
      </c>
      <c r="E107" s="212">
        <v>40</v>
      </c>
      <c r="F107" s="554">
        <v>472</v>
      </c>
      <c r="G107" s="488" t="s">
        <v>4592</v>
      </c>
      <c r="H107" s="500">
        <v>1500000</v>
      </c>
      <c r="I107" s="1267">
        <v>0</v>
      </c>
      <c r="J107" s="1268">
        <f>SUM(H107:I107)</f>
        <v>1500000</v>
      </c>
      <c r="K107" s="646"/>
      <c r="M107" s="868"/>
      <c r="N107" s="646"/>
    </row>
    <row r="108" spans="1:14" s="527" customFormat="1" ht="17.25" customHeight="1" thickBot="1">
      <c r="A108" s="852"/>
      <c r="B108" s="212"/>
      <c r="C108" s="329" t="s">
        <v>4426</v>
      </c>
      <c r="D108" s="427" t="s">
        <v>3878</v>
      </c>
      <c r="E108" s="212">
        <v>41</v>
      </c>
      <c r="F108" s="872">
        <v>481</v>
      </c>
      <c r="G108" s="1298" t="s">
        <v>4484</v>
      </c>
      <c r="H108" s="1317">
        <v>1500000</v>
      </c>
      <c r="I108" s="1300">
        <v>0</v>
      </c>
      <c r="J108" s="1301">
        <f>SUM(H108:I108)</f>
        <v>1500000</v>
      </c>
      <c r="K108" s="646"/>
      <c r="M108" s="868"/>
      <c r="N108" s="646"/>
    </row>
    <row r="109" spans="1:14" s="527" customFormat="1" ht="33.75" customHeight="1" thickBot="1">
      <c r="A109" s="852"/>
      <c r="B109" s="212"/>
      <c r="C109" s="326"/>
      <c r="D109" s="215"/>
      <c r="E109" s="853"/>
      <c r="F109" s="1189" t="s">
        <v>4600</v>
      </c>
      <c r="G109" s="1190"/>
      <c r="H109" s="482">
        <f>H107+H108</f>
        <v>3000000</v>
      </c>
      <c r="I109" s="482">
        <f>I107+I108</f>
        <v>0</v>
      </c>
      <c r="J109" s="482">
        <f>J107+J108</f>
        <v>3000000</v>
      </c>
      <c r="K109" s="646"/>
      <c r="M109" s="868"/>
      <c r="N109" s="646"/>
    </row>
    <row r="110" spans="1:14" s="527" customFormat="1" ht="81.75" customHeight="1" thickBot="1">
      <c r="A110" s="307"/>
      <c r="B110" s="312"/>
      <c r="C110" s="345"/>
      <c r="D110" s="346"/>
      <c r="E110" s="313"/>
      <c r="F110" s="1197" t="s">
        <v>4726</v>
      </c>
      <c r="G110" s="1198"/>
      <c r="H110" s="395">
        <f>H70+H75+H84+H93+H98+H103+H109</f>
        <v>58710000</v>
      </c>
      <c r="I110" s="395">
        <f>I70+I75+I84+I93+I98+I103+I109</f>
        <v>6000000</v>
      </c>
      <c r="J110" s="395">
        <f>J70+J75+J84+J93+J98+J103+J109</f>
        <v>64710000</v>
      </c>
      <c r="K110" s="646"/>
      <c r="M110" s="868"/>
      <c r="N110" s="646"/>
    </row>
    <row r="111" spans="1:14" s="527" customFormat="1" ht="12" customHeight="1" thickBot="1">
      <c r="A111" s="405"/>
      <c r="B111" s="405"/>
      <c r="C111" s="524"/>
      <c r="D111" s="378"/>
      <c r="E111" s="378"/>
      <c r="F111" s="378"/>
      <c r="G111" s="222"/>
      <c r="H111" s="386"/>
      <c r="I111" s="387"/>
      <c r="J111" s="387"/>
      <c r="K111" s="646"/>
      <c r="M111" s="868"/>
      <c r="N111" s="646"/>
    </row>
    <row r="112" spans="1:14" s="527" customFormat="1" ht="18" customHeight="1">
      <c r="A112" s="321"/>
      <c r="B112" s="322"/>
      <c r="C112" s="323" t="s">
        <v>4464</v>
      </c>
      <c r="D112" s="324"/>
      <c r="E112" s="322"/>
      <c r="F112" s="321"/>
      <c r="G112" s="517" t="s">
        <v>4465</v>
      </c>
      <c r="H112" s="354"/>
      <c r="I112" s="333"/>
      <c r="J112" s="339"/>
      <c r="K112" s="646"/>
      <c r="M112" s="868"/>
      <c r="N112" s="646"/>
    </row>
    <row r="113" spans="1:14" s="527" customFormat="1" ht="14.25" customHeight="1">
      <c r="A113" s="692"/>
      <c r="B113" s="212"/>
      <c r="C113" s="326" t="s">
        <v>4466</v>
      </c>
      <c r="D113" s="215"/>
      <c r="E113" s="212"/>
      <c r="F113" s="692"/>
      <c r="G113" s="518" t="s">
        <v>4479</v>
      </c>
      <c r="H113" s="355"/>
      <c r="I113" s="334"/>
      <c r="J113" s="306"/>
      <c r="K113" s="646"/>
      <c r="M113" s="868"/>
      <c r="N113" s="646"/>
    </row>
    <row r="114" spans="1:14" s="527" customFormat="1" ht="15.75" customHeight="1">
      <c r="A114" s="692"/>
      <c r="B114" s="212"/>
      <c r="C114" s="326"/>
      <c r="D114" s="212">
        <v>131</v>
      </c>
      <c r="E114" s="212"/>
      <c r="F114" s="697"/>
      <c r="G114" s="542" t="s">
        <v>114</v>
      </c>
      <c r="H114" s="355"/>
      <c r="I114" s="334"/>
      <c r="J114" s="306"/>
      <c r="K114" s="646"/>
      <c r="M114" s="868"/>
      <c r="N114" s="646"/>
    </row>
    <row r="115" spans="1:14" s="527" customFormat="1" ht="17.25" customHeight="1">
      <c r="A115" s="692"/>
      <c r="B115" s="212"/>
      <c r="C115" s="329" t="s">
        <v>4466</v>
      </c>
      <c r="D115" s="212">
        <v>131</v>
      </c>
      <c r="E115" s="212">
        <v>42</v>
      </c>
      <c r="F115" s="1318">
        <v>424</v>
      </c>
      <c r="G115" s="1319" t="s">
        <v>3776</v>
      </c>
      <c r="H115" s="494">
        <v>0</v>
      </c>
      <c r="I115" s="1320">
        <v>0</v>
      </c>
      <c r="J115" s="1271">
        <f>H115+I115</f>
        <v>0</v>
      </c>
      <c r="K115" s="646"/>
      <c r="M115" s="868"/>
      <c r="N115" s="646"/>
    </row>
    <row r="116" spans="1:14" s="527" customFormat="1" ht="18" customHeight="1" thickBot="1">
      <c r="A116" s="692"/>
      <c r="B116" s="212"/>
      <c r="C116" s="329" t="s">
        <v>4466</v>
      </c>
      <c r="D116" s="212">
        <v>131</v>
      </c>
      <c r="E116" s="378">
        <v>43</v>
      </c>
      <c r="F116" s="703">
        <v>511</v>
      </c>
      <c r="G116" s="704" t="s">
        <v>4038</v>
      </c>
      <c r="H116" s="1321">
        <v>5200000</v>
      </c>
      <c r="I116" s="1322">
        <v>17000000</v>
      </c>
      <c r="J116" s="1323">
        <f>H116+I116</f>
        <v>22200000</v>
      </c>
      <c r="K116" s="646"/>
      <c r="M116" s="868"/>
      <c r="N116" s="646"/>
    </row>
    <row r="117" spans="1:14" s="527" customFormat="1" ht="17.25" customHeight="1" thickBot="1">
      <c r="A117" s="692"/>
      <c r="B117" s="212"/>
      <c r="C117" s="326"/>
      <c r="D117" s="215"/>
      <c r="E117" s="693"/>
      <c r="F117" s="1204" t="s">
        <v>4467</v>
      </c>
      <c r="G117" s="1205"/>
      <c r="H117" s="482">
        <f>SUM(H115:H116)</f>
        <v>5200000</v>
      </c>
      <c r="I117" s="490">
        <f>SUM(I116)</f>
        <v>17000000</v>
      </c>
      <c r="J117" s="490">
        <f>SUM(J115:J116)</f>
        <v>22200000</v>
      </c>
      <c r="K117" s="646"/>
      <c r="M117" s="868"/>
      <c r="N117" s="646"/>
    </row>
    <row r="118" spans="1:14" s="527" customFormat="1" ht="47.25" customHeight="1" thickBot="1">
      <c r="A118" s="307"/>
      <c r="B118" s="312"/>
      <c r="C118" s="345"/>
      <c r="D118" s="346"/>
      <c r="E118" s="312"/>
      <c r="F118" s="1197" t="s">
        <v>4739</v>
      </c>
      <c r="G118" s="1198"/>
      <c r="H118" s="395">
        <f>H117</f>
        <v>5200000</v>
      </c>
      <c r="I118" s="395">
        <f>I117</f>
        <v>17000000</v>
      </c>
      <c r="J118" s="395">
        <f>J117</f>
        <v>22200000</v>
      </c>
      <c r="K118" s="646"/>
      <c r="M118" s="868"/>
      <c r="N118" s="646"/>
    </row>
    <row r="119" spans="1:14" s="527" customFormat="1" ht="10.5" customHeight="1" thickBot="1">
      <c r="A119" s="405"/>
      <c r="B119" s="405"/>
      <c r="C119" s="524"/>
      <c r="D119" s="378"/>
      <c r="E119" s="378"/>
      <c r="F119" s="378"/>
      <c r="G119" s="222"/>
      <c r="H119" s="386"/>
      <c r="I119" s="387"/>
      <c r="J119" s="387"/>
      <c r="K119" s="646"/>
      <c r="M119" s="868"/>
      <c r="N119" s="646"/>
    </row>
    <row r="120" spans="1:14" ht="28.5">
      <c r="A120" s="321"/>
      <c r="B120" s="322"/>
      <c r="C120" s="323" t="s">
        <v>3598</v>
      </c>
      <c r="D120" s="322"/>
      <c r="E120" s="322"/>
      <c r="F120" s="649"/>
      <c r="G120" s="348" t="s">
        <v>4403</v>
      </c>
      <c r="H120" s="331"/>
      <c r="I120" s="339"/>
      <c r="J120" s="339"/>
      <c r="M120" s="868"/>
    </row>
    <row r="121" spans="1:14" ht="28.5">
      <c r="A121" s="852"/>
      <c r="B121" s="212"/>
      <c r="C121" s="220" t="s">
        <v>3996</v>
      </c>
      <c r="D121" s="212"/>
      <c r="E121" s="212"/>
      <c r="F121" s="340"/>
      <c r="G121" s="222" t="s">
        <v>3997</v>
      </c>
      <c r="H121" s="332"/>
      <c r="I121" s="306"/>
      <c r="J121" s="306"/>
      <c r="M121" s="868"/>
    </row>
    <row r="122" spans="1:14" ht="15.75" thickBot="1">
      <c r="A122" s="852"/>
      <c r="B122" s="212"/>
      <c r="C122" s="371" t="s">
        <v>3996</v>
      </c>
      <c r="D122" s="212">
        <v>131</v>
      </c>
      <c r="E122" s="327"/>
      <c r="F122" s="341"/>
      <c r="G122" s="218" t="s">
        <v>4044</v>
      </c>
      <c r="H122" s="332"/>
      <c r="I122" s="306"/>
      <c r="J122" s="306"/>
      <c r="M122" s="868"/>
    </row>
    <row r="123" spans="1:14">
      <c r="A123" s="852"/>
      <c r="B123" s="212"/>
      <c r="C123" s="371" t="s">
        <v>3996</v>
      </c>
      <c r="D123" s="212">
        <v>131</v>
      </c>
      <c r="E123" s="212">
        <v>44</v>
      </c>
      <c r="F123" s="655">
        <v>411</v>
      </c>
      <c r="G123" s="580" t="s">
        <v>4023</v>
      </c>
      <c r="H123" s="500">
        <v>54000000</v>
      </c>
      <c r="I123" s="1267">
        <v>0</v>
      </c>
      <c r="J123" s="1268">
        <f>SUM(H123:I123)</f>
        <v>54000000</v>
      </c>
      <c r="M123" s="868"/>
    </row>
    <row r="124" spans="1:14">
      <c r="A124" s="852"/>
      <c r="B124" s="212"/>
      <c r="C124" s="371" t="s">
        <v>3996</v>
      </c>
      <c r="D124" s="212">
        <v>131</v>
      </c>
      <c r="E124" s="212">
        <v>45</v>
      </c>
      <c r="F124" s="855">
        <v>412</v>
      </c>
      <c r="G124" s="656" t="s">
        <v>3759</v>
      </c>
      <c r="H124" s="494">
        <v>9600000</v>
      </c>
      <c r="I124" s="1294">
        <v>0</v>
      </c>
      <c r="J124" s="1271">
        <f t="shared" ref="J124:J143" si="3">SUM(H124:I124)</f>
        <v>9600000</v>
      </c>
      <c r="M124" s="868"/>
    </row>
    <row r="125" spans="1:14">
      <c r="A125" s="852"/>
      <c r="B125" s="212"/>
      <c r="C125" s="371" t="s">
        <v>3996</v>
      </c>
      <c r="D125" s="212">
        <v>131</v>
      </c>
      <c r="E125" s="212">
        <v>46</v>
      </c>
      <c r="F125" s="855">
        <v>413</v>
      </c>
      <c r="G125" s="530" t="s">
        <v>4024</v>
      </c>
      <c r="H125" s="494">
        <v>450000</v>
      </c>
      <c r="I125" s="1294">
        <v>0</v>
      </c>
      <c r="J125" s="1271">
        <f t="shared" si="3"/>
        <v>450000</v>
      </c>
      <c r="M125" s="868"/>
    </row>
    <row r="126" spans="1:14">
      <c r="A126" s="852"/>
      <c r="B126" s="212"/>
      <c r="C126" s="371" t="s">
        <v>3996</v>
      </c>
      <c r="D126" s="212">
        <v>131</v>
      </c>
      <c r="E126" s="212">
        <v>47</v>
      </c>
      <c r="F126" s="855">
        <v>414</v>
      </c>
      <c r="G126" s="530" t="s">
        <v>3762</v>
      </c>
      <c r="H126" s="494">
        <v>1000000</v>
      </c>
      <c r="I126" s="1294">
        <v>0</v>
      </c>
      <c r="J126" s="1271">
        <f t="shared" si="3"/>
        <v>1000000</v>
      </c>
      <c r="M126" s="868"/>
    </row>
    <row r="127" spans="1:14">
      <c r="A127" s="852"/>
      <c r="B127" s="212"/>
      <c r="C127" s="371" t="s">
        <v>3996</v>
      </c>
      <c r="D127" s="212">
        <v>131</v>
      </c>
      <c r="E127" s="212">
        <v>48</v>
      </c>
      <c r="F127" s="855">
        <v>415</v>
      </c>
      <c r="G127" s="530" t="s">
        <v>4031</v>
      </c>
      <c r="H127" s="494">
        <v>1300000</v>
      </c>
      <c r="I127" s="1294">
        <v>0</v>
      </c>
      <c r="J127" s="1271">
        <f t="shared" si="3"/>
        <v>1300000</v>
      </c>
      <c r="M127" s="868"/>
    </row>
    <row r="128" spans="1:14">
      <c r="A128" s="852"/>
      <c r="B128" s="212"/>
      <c r="C128" s="371" t="s">
        <v>3996</v>
      </c>
      <c r="D128" s="212">
        <v>131</v>
      </c>
      <c r="E128" s="212">
        <v>49</v>
      </c>
      <c r="F128" s="855">
        <v>416</v>
      </c>
      <c r="G128" s="530" t="s">
        <v>4032</v>
      </c>
      <c r="H128" s="494">
        <v>500000</v>
      </c>
      <c r="I128" s="1294">
        <v>0</v>
      </c>
      <c r="J128" s="1271">
        <f t="shared" si="3"/>
        <v>500000</v>
      </c>
      <c r="M128" s="868"/>
    </row>
    <row r="129" spans="1:13">
      <c r="A129" s="852"/>
      <c r="B129" s="212"/>
      <c r="C129" s="371" t="s">
        <v>3996</v>
      </c>
      <c r="D129" s="212">
        <v>131</v>
      </c>
      <c r="E129" s="212">
        <v>50</v>
      </c>
      <c r="F129" s="855">
        <v>421</v>
      </c>
      <c r="G129" s="530" t="s">
        <v>3772</v>
      </c>
      <c r="H129" s="494">
        <v>9500000</v>
      </c>
      <c r="I129" s="1294">
        <v>0</v>
      </c>
      <c r="J129" s="1271">
        <f t="shared" si="3"/>
        <v>9500000</v>
      </c>
      <c r="M129" s="868"/>
    </row>
    <row r="130" spans="1:13">
      <c r="A130" s="852"/>
      <c r="B130" s="212"/>
      <c r="C130" s="371" t="s">
        <v>3996</v>
      </c>
      <c r="D130" s="212">
        <v>131</v>
      </c>
      <c r="E130" s="212">
        <v>51</v>
      </c>
      <c r="F130" s="855">
        <v>422</v>
      </c>
      <c r="G130" s="530" t="s">
        <v>3773</v>
      </c>
      <c r="H130" s="494">
        <v>1000000</v>
      </c>
      <c r="I130" s="1294">
        <v>0</v>
      </c>
      <c r="J130" s="1271">
        <f t="shared" si="3"/>
        <v>1000000</v>
      </c>
      <c r="M130" s="868"/>
    </row>
    <row r="131" spans="1:13">
      <c r="A131" s="852"/>
      <c r="B131" s="212"/>
      <c r="C131" s="371" t="s">
        <v>3996</v>
      </c>
      <c r="D131" s="212">
        <v>131</v>
      </c>
      <c r="E131" s="378">
        <v>52</v>
      </c>
      <c r="F131" s="855">
        <v>423</v>
      </c>
      <c r="G131" s="530" t="s">
        <v>3774</v>
      </c>
      <c r="H131" s="494">
        <v>13160000</v>
      </c>
      <c r="I131" s="1294">
        <v>0</v>
      </c>
      <c r="J131" s="1271">
        <f t="shared" si="3"/>
        <v>13160000</v>
      </c>
      <c r="M131" s="868"/>
    </row>
    <row r="132" spans="1:13">
      <c r="A132" s="852"/>
      <c r="B132" s="212"/>
      <c r="C132" s="371" t="s">
        <v>3996</v>
      </c>
      <c r="D132" s="212">
        <v>131</v>
      </c>
      <c r="E132" s="378">
        <v>53</v>
      </c>
      <c r="F132" s="855">
        <v>424</v>
      </c>
      <c r="G132" s="530" t="s">
        <v>3776</v>
      </c>
      <c r="H132" s="494">
        <v>1250000</v>
      </c>
      <c r="I132" s="1294">
        <v>0</v>
      </c>
      <c r="J132" s="1271">
        <f t="shared" si="3"/>
        <v>1250000</v>
      </c>
      <c r="M132" s="868"/>
    </row>
    <row r="133" spans="1:13">
      <c r="A133" s="852"/>
      <c r="B133" s="212"/>
      <c r="C133" s="371" t="s">
        <v>3996</v>
      </c>
      <c r="D133" s="212">
        <v>131</v>
      </c>
      <c r="E133" s="378">
        <v>54</v>
      </c>
      <c r="F133" s="855">
        <v>425</v>
      </c>
      <c r="G133" s="530" t="s">
        <v>4033</v>
      </c>
      <c r="H133" s="494">
        <v>2540000</v>
      </c>
      <c r="I133" s="1294">
        <v>0</v>
      </c>
      <c r="J133" s="1271">
        <f t="shared" si="3"/>
        <v>2540000</v>
      </c>
      <c r="M133" s="868"/>
    </row>
    <row r="134" spans="1:13">
      <c r="A134" s="852"/>
      <c r="B134" s="212"/>
      <c r="C134" s="371" t="s">
        <v>3996</v>
      </c>
      <c r="D134" s="212">
        <v>131</v>
      </c>
      <c r="E134" s="378">
        <v>55</v>
      </c>
      <c r="F134" s="855">
        <v>426</v>
      </c>
      <c r="G134" s="530" t="s">
        <v>3780</v>
      </c>
      <c r="H134" s="494">
        <v>6500000</v>
      </c>
      <c r="I134" s="1294">
        <v>0</v>
      </c>
      <c r="J134" s="1271">
        <f t="shared" si="3"/>
        <v>6500000</v>
      </c>
      <c r="M134" s="868"/>
    </row>
    <row r="135" spans="1:13">
      <c r="A135" s="852"/>
      <c r="B135" s="212"/>
      <c r="C135" s="876" t="s">
        <v>3996</v>
      </c>
      <c r="D135" s="378">
        <v>131</v>
      </c>
      <c r="E135" s="378">
        <v>56</v>
      </c>
      <c r="F135" s="855">
        <v>465</v>
      </c>
      <c r="G135" s="656" t="s">
        <v>4025</v>
      </c>
      <c r="H135" s="494">
        <v>6000000</v>
      </c>
      <c r="I135" s="1293">
        <v>0</v>
      </c>
      <c r="J135" s="1253">
        <f>SUM(H135:I135)</f>
        <v>6000000</v>
      </c>
      <c r="M135" s="868"/>
    </row>
    <row r="136" spans="1:13">
      <c r="A136" s="852"/>
      <c r="B136" s="212"/>
      <c r="C136" s="371" t="s">
        <v>3996</v>
      </c>
      <c r="D136" s="212">
        <v>131</v>
      </c>
      <c r="E136" s="378">
        <v>57</v>
      </c>
      <c r="F136" s="855">
        <v>482</v>
      </c>
      <c r="G136" s="530" t="s">
        <v>4035</v>
      </c>
      <c r="H136" s="494">
        <v>1700000</v>
      </c>
      <c r="I136" s="1294">
        <v>0</v>
      </c>
      <c r="J136" s="1271">
        <f t="shared" si="3"/>
        <v>1700000</v>
      </c>
      <c r="M136" s="868"/>
    </row>
    <row r="137" spans="1:13">
      <c r="A137" s="852"/>
      <c r="B137" s="212"/>
      <c r="C137" s="371" t="s">
        <v>3996</v>
      </c>
      <c r="D137" s="212">
        <v>131</v>
      </c>
      <c r="E137" s="378">
        <v>58</v>
      </c>
      <c r="F137" s="855">
        <v>483</v>
      </c>
      <c r="G137" s="530" t="s">
        <v>4036</v>
      </c>
      <c r="H137" s="494">
        <v>2300000</v>
      </c>
      <c r="I137" s="1294">
        <v>0</v>
      </c>
      <c r="J137" s="1271">
        <f t="shared" si="3"/>
        <v>2300000</v>
      </c>
      <c r="M137" s="868"/>
    </row>
    <row r="138" spans="1:13" ht="30">
      <c r="A138" s="852"/>
      <c r="B138" s="212"/>
      <c r="C138" s="371" t="s">
        <v>3996</v>
      </c>
      <c r="D138" s="212">
        <v>131</v>
      </c>
      <c r="E138" s="378">
        <v>59</v>
      </c>
      <c r="F138" s="855">
        <v>484</v>
      </c>
      <c r="G138" s="530" t="s">
        <v>4037</v>
      </c>
      <c r="H138" s="494">
        <v>4000000</v>
      </c>
      <c r="I138" s="1294">
        <v>0</v>
      </c>
      <c r="J138" s="1271">
        <f t="shared" si="3"/>
        <v>4000000</v>
      </c>
      <c r="M138" s="868"/>
    </row>
    <row r="139" spans="1:13">
      <c r="A139" s="852"/>
      <c r="B139" s="212"/>
      <c r="C139" s="371" t="s">
        <v>3996</v>
      </c>
      <c r="D139" s="212">
        <v>131</v>
      </c>
      <c r="E139" s="378">
        <v>60</v>
      </c>
      <c r="F139" s="855">
        <v>485</v>
      </c>
      <c r="G139" s="530" t="s">
        <v>4325</v>
      </c>
      <c r="H139" s="494">
        <v>150000</v>
      </c>
      <c r="I139" s="1294">
        <v>0</v>
      </c>
      <c r="J139" s="1271">
        <f t="shared" si="3"/>
        <v>150000</v>
      </c>
      <c r="M139" s="868"/>
    </row>
    <row r="140" spans="1:13">
      <c r="A140" s="852"/>
      <c r="B140" s="212"/>
      <c r="C140" s="371" t="s">
        <v>3996</v>
      </c>
      <c r="D140" s="212">
        <v>131</v>
      </c>
      <c r="E140" s="378">
        <v>61</v>
      </c>
      <c r="F140" s="855">
        <v>511</v>
      </c>
      <c r="G140" s="530" t="s">
        <v>4038</v>
      </c>
      <c r="H140" s="494">
        <v>3000000</v>
      </c>
      <c r="I140" s="1294">
        <v>0</v>
      </c>
      <c r="J140" s="1271">
        <f t="shared" si="3"/>
        <v>3000000</v>
      </c>
      <c r="M140" s="868"/>
    </row>
    <row r="141" spans="1:13">
      <c r="A141" s="852"/>
      <c r="B141" s="212"/>
      <c r="C141" s="371" t="s">
        <v>3996</v>
      </c>
      <c r="D141" s="212">
        <v>131</v>
      </c>
      <c r="E141" s="378">
        <v>62</v>
      </c>
      <c r="F141" s="855">
        <v>512</v>
      </c>
      <c r="G141" s="530" t="s">
        <v>4039</v>
      </c>
      <c r="H141" s="1293">
        <v>3700000</v>
      </c>
      <c r="I141" s="1294">
        <v>0</v>
      </c>
      <c r="J141" s="1271">
        <f t="shared" si="3"/>
        <v>3700000</v>
      </c>
      <c r="M141" s="868"/>
    </row>
    <row r="142" spans="1:13">
      <c r="A142" s="852"/>
      <c r="B142" s="212"/>
      <c r="C142" s="371" t="s">
        <v>3996</v>
      </c>
      <c r="D142" s="212">
        <v>131</v>
      </c>
      <c r="E142" s="378">
        <v>63</v>
      </c>
      <c r="F142" s="855">
        <v>515</v>
      </c>
      <c r="G142" s="530" t="s">
        <v>3827</v>
      </c>
      <c r="H142" s="1293">
        <v>200000</v>
      </c>
      <c r="I142" s="1294">
        <v>0</v>
      </c>
      <c r="J142" s="1271">
        <f t="shared" si="3"/>
        <v>200000</v>
      </c>
      <c r="M142" s="868"/>
    </row>
    <row r="143" spans="1:13" ht="15.75" thickBot="1">
      <c r="A143" s="852"/>
      <c r="B143" s="212"/>
      <c r="C143" s="371" t="s">
        <v>3996</v>
      </c>
      <c r="D143" s="212">
        <v>131</v>
      </c>
      <c r="E143" s="212">
        <v>64</v>
      </c>
      <c r="F143" s="675">
        <v>541</v>
      </c>
      <c r="G143" s="579" t="s">
        <v>4041</v>
      </c>
      <c r="H143" s="514">
        <v>4800000</v>
      </c>
      <c r="I143" s="578">
        <v>0</v>
      </c>
      <c r="J143" s="526">
        <f t="shared" si="3"/>
        <v>4800000</v>
      </c>
      <c r="M143" s="868"/>
    </row>
    <row r="144" spans="1:13" ht="45.75" customHeight="1" thickBot="1">
      <c r="A144" s="852"/>
      <c r="B144" s="212"/>
      <c r="C144" s="326"/>
      <c r="D144" s="215"/>
      <c r="E144" s="212"/>
      <c r="F144" s="1189" t="s">
        <v>4756</v>
      </c>
      <c r="G144" s="1190"/>
      <c r="H144" s="482">
        <f>SUM(H123:H143)</f>
        <v>126650000</v>
      </c>
      <c r="I144" s="482">
        <f>SUM(I123:I143)</f>
        <v>0</v>
      </c>
      <c r="J144" s="751">
        <f>SUM(J123:J143)</f>
        <v>126650000</v>
      </c>
      <c r="M144" s="868"/>
    </row>
    <row r="145" spans="1:13" ht="15.75" thickBot="1">
      <c r="A145" s="852"/>
      <c r="B145" s="212"/>
      <c r="C145" s="326"/>
      <c r="D145" s="215"/>
      <c r="E145" s="212"/>
      <c r="F145" s="212"/>
      <c r="G145" s="222"/>
      <c r="H145" s="278"/>
      <c r="I145" s="306"/>
      <c r="J145" s="306"/>
      <c r="M145" s="868"/>
    </row>
    <row r="146" spans="1:13" ht="28.5">
      <c r="A146" s="887"/>
      <c r="B146" s="212"/>
      <c r="C146" s="220" t="s">
        <v>4662</v>
      </c>
      <c r="D146" s="212"/>
      <c r="E146" s="212"/>
      <c r="F146" s="649"/>
      <c r="G146" s="568" t="s">
        <v>4664</v>
      </c>
      <c r="H146" s="331"/>
      <c r="I146" s="339"/>
      <c r="J146" s="339"/>
      <c r="M146" s="868"/>
    </row>
    <row r="147" spans="1:13" ht="15" customHeight="1" thickBot="1">
      <c r="A147" s="887"/>
      <c r="B147" s="212"/>
      <c r="C147" s="371" t="s">
        <v>4662</v>
      </c>
      <c r="D147" s="212">
        <v>131</v>
      </c>
      <c r="E147" s="327"/>
      <c r="F147" s="567"/>
      <c r="G147" s="565" t="s">
        <v>4044</v>
      </c>
      <c r="H147" s="342"/>
      <c r="I147" s="310"/>
      <c r="J147" s="310"/>
      <c r="M147" s="868"/>
    </row>
    <row r="148" spans="1:13" ht="15.75" thickBot="1">
      <c r="A148" s="887"/>
      <c r="B148" s="212"/>
      <c r="C148" s="329" t="s">
        <v>4662</v>
      </c>
      <c r="D148" s="212">
        <v>131</v>
      </c>
      <c r="E148" s="212" t="s">
        <v>4663</v>
      </c>
      <c r="F148" s="534">
        <v>465</v>
      </c>
      <c r="G148" s="656" t="s">
        <v>4025</v>
      </c>
      <c r="H148" s="1324">
        <v>2000000</v>
      </c>
      <c r="I148" s="1325">
        <v>18000000</v>
      </c>
      <c r="J148" s="388">
        <f>H148+I148</f>
        <v>20000000</v>
      </c>
      <c r="M148" s="868"/>
    </row>
    <row r="149" spans="1:13" ht="52.5" customHeight="1" thickBot="1">
      <c r="A149" s="887"/>
      <c r="B149" s="212"/>
      <c r="C149" s="326"/>
      <c r="D149" s="215"/>
      <c r="E149" s="212"/>
      <c r="F149" s="1189" t="s">
        <v>4688</v>
      </c>
      <c r="G149" s="1190"/>
      <c r="H149" s="401">
        <f>SUM(H147:H148)</f>
        <v>2000000</v>
      </c>
      <c r="I149" s="409">
        <f>SUM(I147:I148)</f>
        <v>18000000</v>
      </c>
      <c r="J149" s="409">
        <f>SUM(J147:J148)</f>
        <v>20000000</v>
      </c>
      <c r="M149" s="868"/>
    </row>
    <row r="150" spans="1:13" ht="15.75" thickBot="1">
      <c r="A150" s="887"/>
      <c r="B150" s="212"/>
      <c r="C150" s="326"/>
      <c r="D150" s="215"/>
      <c r="E150" s="212"/>
      <c r="F150" s="212"/>
      <c r="G150" s="222"/>
      <c r="H150" s="278"/>
      <c r="I150" s="306"/>
      <c r="J150" s="306"/>
      <c r="M150" s="868"/>
    </row>
    <row r="151" spans="1:13" ht="24" customHeight="1">
      <c r="A151" s="852"/>
      <c r="B151" s="212"/>
      <c r="C151" s="220" t="s">
        <v>4005</v>
      </c>
      <c r="D151" s="212"/>
      <c r="E151" s="212"/>
      <c r="F151" s="649"/>
      <c r="G151" s="568" t="s">
        <v>4266</v>
      </c>
      <c r="H151" s="331"/>
      <c r="I151" s="339"/>
      <c r="J151" s="339"/>
      <c r="M151" s="868"/>
    </row>
    <row r="152" spans="1:13" ht="15.75" thickBot="1">
      <c r="A152" s="852"/>
      <c r="B152" s="212"/>
      <c r="C152" s="371"/>
      <c r="D152" s="212">
        <v>131</v>
      </c>
      <c r="E152" s="327"/>
      <c r="F152" s="567"/>
      <c r="G152" s="565" t="s">
        <v>4044</v>
      </c>
      <c r="H152" s="342"/>
      <c r="I152" s="310"/>
      <c r="J152" s="310"/>
      <c r="M152" s="868"/>
    </row>
    <row r="153" spans="1:13" ht="15.75" thickBot="1">
      <c r="A153" s="852"/>
      <c r="B153" s="212"/>
      <c r="C153" s="329" t="s">
        <v>4005</v>
      </c>
      <c r="D153" s="212">
        <v>131</v>
      </c>
      <c r="E153" s="212">
        <v>65</v>
      </c>
      <c r="F153" s="534">
        <v>499</v>
      </c>
      <c r="G153" s="562" t="s">
        <v>4266</v>
      </c>
      <c r="H153" s="1324">
        <v>27000000</v>
      </c>
      <c r="I153" s="1325">
        <v>0</v>
      </c>
      <c r="J153" s="388">
        <f>H153+I153</f>
        <v>27000000</v>
      </c>
      <c r="M153" s="868"/>
    </row>
    <row r="154" spans="1:13" ht="35.25" customHeight="1" thickBot="1">
      <c r="A154" s="852"/>
      <c r="B154" s="212"/>
      <c r="C154" s="326"/>
      <c r="D154" s="215"/>
      <c r="E154" s="212"/>
      <c r="F154" s="1189" t="s">
        <v>4665</v>
      </c>
      <c r="G154" s="1190"/>
      <c r="H154" s="401">
        <f>SUM(H152:H153)</f>
        <v>27000000</v>
      </c>
      <c r="I154" s="409">
        <f>SUM(I152:I153)</f>
        <v>0</v>
      </c>
      <c r="J154" s="409">
        <f>SUM(J152:J153)</f>
        <v>27000000</v>
      </c>
      <c r="M154" s="868"/>
    </row>
    <row r="155" spans="1:13" ht="15.75" thickBot="1">
      <c r="A155" s="852"/>
      <c r="B155" s="212"/>
      <c r="C155" s="326"/>
      <c r="D155" s="215"/>
      <c r="E155" s="212"/>
      <c r="F155" s="212"/>
      <c r="G155" s="521"/>
      <c r="H155" s="278"/>
      <c r="I155" s="306"/>
      <c r="J155" s="306"/>
      <c r="M155" s="868"/>
    </row>
    <row r="156" spans="1:13" ht="24" customHeight="1">
      <c r="A156" s="852"/>
      <c r="B156" s="212"/>
      <c r="C156" s="220" t="s">
        <v>4006</v>
      </c>
      <c r="D156" s="212"/>
      <c r="E156" s="212"/>
      <c r="F156" s="649"/>
      <c r="G156" s="517" t="s">
        <v>4265</v>
      </c>
      <c r="H156" s="331"/>
      <c r="I156" s="339"/>
      <c r="J156" s="339"/>
      <c r="M156" s="868"/>
    </row>
    <row r="157" spans="1:13" ht="15.75" thickBot="1">
      <c r="A157" s="852"/>
      <c r="B157" s="212"/>
      <c r="C157" s="371"/>
      <c r="D157" s="212">
        <v>131</v>
      </c>
      <c r="E157" s="327"/>
      <c r="F157" s="567"/>
      <c r="G157" s="519" t="s">
        <v>4044</v>
      </c>
      <c r="H157" s="342"/>
      <c r="I157" s="310"/>
      <c r="J157" s="310"/>
      <c r="M157" s="868"/>
    </row>
    <row r="158" spans="1:13" ht="15.75" thickBot="1">
      <c r="A158" s="852"/>
      <c r="B158" s="212"/>
      <c r="C158" s="329" t="s">
        <v>4006</v>
      </c>
      <c r="D158" s="212">
        <v>131</v>
      </c>
      <c r="E158" s="212">
        <v>66</v>
      </c>
      <c r="F158" s="534">
        <v>499</v>
      </c>
      <c r="G158" s="562" t="s">
        <v>4265</v>
      </c>
      <c r="H158" s="1324">
        <v>500000</v>
      </c>
      <c r="I158" s="1325">
        <v>0</v>
      </c>
      <c r="J158" s="388">
        <f>H158+I158</f>
        <v>500000</v>
      </c>
      <c r="M158" s="868"/>
    </row>
    <row r="159" spans="1:13" ht="32.25" customHeight="1" thickBot="1">
      <c r="A159" s="852"/>
      <c r="B159" s="212"/>
      <c r="C159" s="326"/>
      <c r="D159" s="215"/>
      <c r="E159" s="212"/>
      <c r="F159" s="1189" t="s">
        <v>4666</v>
      </c>
      <c r="G159" s="1190"/>
      <c r="H159" s="401">
        <f>SUM(H157:H158)</f>
        <v>500000</v>
      </c>
      <c r="I159" s="409">
        <f>SUM(I157:I158)</f>
        <v>0</v>
      </c>
      <c r="J159" s="409">
        <f>SUM(J157:J158)</f>
        <v>500000</v>
      </c>
      <c r="K159" s="1122"/>
      <c r="M159" s="868"/>
    </row>
    <row r="160" spans="1:13" ht="76.5" customHeight="1" thickBot="1">
      <c r="A160" s="307"/>
      <c r="B160" s="312"/>
      <c r="C160" s="345"/>
      <c r="D160" s="346"/>
      <c r="E160" s="313"/>
      <c r="F160" s="1187" t="s">
        <v>4751</v>
      </c>
      <c r="G160" s="1188"/>
      <c r="H160" s="566">
        <f>H144+H149+H154+H159</f>
        <v>156150000</v>
      </c>
      <c r="I160" s="566">
        <f>I144+I149+I154+I159</f>
        <v>18000000</v>
      </c>
      <c r="J160" s="566">
        <f>J144+J149+J154+J159</f>
        <v>174150000</v>
      </c>
      <c r="K160" s="672"/>
      <c r="M160" s="868"/>
    </row>
    <row r="161" spans="1:13" ht="15.75" thickBot="1">
      <c r="A161" s="212"/>
      <c r="B161" s="212"/>
      <c r="C161" s="326"/>
      <c r="D161" s="215"/>
      <c r="E161" s="212"/>
      <c r="F161" s="212"/>
      <c r="G161" s="222"/>
      <c r="H161" s="278"/>
      <c r="I161" s="279"/>
      <c r="J161" s="279"/>
      <c r="M161" s="868"/>
    </row>
    <row r="162" spans="1:13" ht="28.5">
      <c r="A162" s="321"/>
      <c r="B162" s="322"/>
      <c r="C162" s="323" t="s">
        <v>3556</v>
      </c>
      <c r="D162" s="322"/>
      <c r="E162" s="325"/>
      <c r="F162" s="325"/>
      <c r="G162" s="563" t="s">
        <v>4475</v>
      </c>
      <c r="H162" s="331"/>
      <c r="I162" s="333"/>
      <c r="J162" s="333"/>
      <c r="M162" s="868"/>
    </row>
    <row r="163" spans="1:13">
      <c r="A163" s="735"/>
      <c r="B163" s="212"/>
      <c r="C163" s="220" t="s">
        <v>4054</v>
      </c>
      <c r="D163" s="212"/>
      <c r="E163" s="736"/>
      <c r="F163" s="736"/>
      <c r="G163" s="564" t="s">
        <v>4349</v>
      </c>
      <c r="H163" s="332"/>
      <c r="I163" s="334"/>
      <c r="J163" s="334"/>
      <c r="M163" s="868"/>
    </row>
    <row r="164" spans="1:13" ht="15.75" thickBot="1">
      <c r="A164" s="735"/>
      <c r="B164" s="212"/>
      <c r="C164" s="371"/>
      <c r="D164" s="212">
        <v>131</v>
      </c>
      <c r="E164" s="328"/>
      <c r="F164" s="328"/>
      <c r="G164" s="565" t="s">
        <v>4044</v>
      </c>
      <c r="H164" s="332"/>
      <c r="I164" s="343"/>
      <c r="J164" s="334"/>
      <c r="M164" s="868"/>
    </row>
    <row r="165" spans="1:13" ht="15.75" thickBot="1">
      <c r="A165" s="735"/>
      <c r="B165" s="212"/>
      <c r="C165" s="329" t="s">
        <v>4054</v>
      </c>
      <c r="D165" s="212">
        <v>131</v>
      </c>
      <c r="E165" s="750">
        <v>67</v>
      </c>
      <c r="F165" s="1326">
        <v>424</v>
      </c>
      <c r="G165" s="1327" t="s">
        <v>3776</v>
      </c>
      <c r="H165" s="1302">
        <v>1700000</v>
      </c>
      <c r="I165" s="1328">
        <v>0</v>
      </c>
      <c r="J165" s="1329">
        <f>H165+I165</f>
        <v>1700000</v>
      </c>
      <c r="M165" s="868"/>
    </row>
    <row r="166" spans="1:13" ht="15.75" thickBot="1">
      <c r="A166" s="735"/>
      <c r="B166" s="212"/>
      <c r="C166" s="329" t="s">
        <v>4054</v>
      </c>
      <c r="D166" s="212">
        <v>131</v>
      </c>
      <c r="E166" s="736">
        <v>68</v>
      </c>
      <c r="F166" s="1330">
        <v>515</v>
      </c>
      <c r="G166" s="1331" t="s">
        <v>3827</v>
      </c>
      <c r="H166" s="1332">
        <v>6000000</v>
      </c>
      <c r="I166" s="1333">
        <v>0</v>
      </c>
      <c r="J166" s="578">
        <f>H166+I166</f>
        <v>6000000</v>
      </c>
      <c r="M166" s="884"/>
    </row>
    <row r="167" spans="1:13" ht="15.75" thickBot="1">
      <c r="A167" s="735"/>
      <c r="B167" s="212"/>
      <c r="C167" s="329"/>
      <c r="D167" s="212"/>
      <c r="E167" s="736"/>
      <c r="F167" s="1192" t="s">
        <v>4350</v>
      </c>
      <c r="G167" s="1211"/>
      <c r="H167" s="401">
        <f>SUM(H164:H166)</f>
        <v>7700000</v>
      </c>
      <c r="I167" s="402">
        <f>SUM(I164:I166)</f>
        <v>0</v>
      </c>
      <c r="J167" s="403">
        <f>SUM(J164:J166)</f>
        <v>7700000</v>
      </c>
      <c r="M167" s="884"/>
    </row>
    <row r="168" spans="1:13" ht="54" customHeight="1" thickBot="1">
      <c r="A168" s="307"/>
      <c r="B168" s="312"/>
      <c r="C168" s="345"/>
      <c r="D168" s="346"/>
      <c r="E168" s="313"/>
      <c r="F168" s="1246" t="s">
        <v>4727</v>
      </c>
      <c r="G168" s="1188"/>
      <c r="H168" s="651">
        <f>H167</f>
        <v>7700000</v>
      </c>
      <c r="I168" s="651">
        <f t="shared" ref="I168:J168" si="4">I167</f>
        <v>0</v>
      </c>
      <c r="J168" s="651">
        <f t="shared" si="4"/>
        <v>7700000</v>
      </c>
      <c r="K168" s="582"/>
      <c r="M168" s="868"/>
    </row>
    <row r="169" spans="1:13" ht="15.75" thickBot="1">
      <c r="A169" s="212"/>
      <c r="B169" s="212"/>
      <c r="C169" s="326"/>
      <c r="D169" s="215"/>
      <c r="E169" s="212"/>
      <c r="F169" s="212"/>
      <c r="G169" s="222"/>
      <c r="H169" s="278"/>
      <c r="I169" s="279"/>
      <c r="J169" s="279"/>
      <c r="M169" s="868"/>
    </row>
    <row r="170" spans="1:13">
      <c r="A170" s="321"/>
      <c r="B170" s="322"/>
      <c r="C170" s="323" t="s">
        <v>3568</v>
      </c>
      <c r="D170" s="322"/>
      <c r="E170" s="322"/>
      <c r="F170" s="374"/>
      <c r="G170" s="375" t="s">
        <v>4339</v>
      </c>
      <c r="H170" s="331"/>
      <c r="I170" s="338"/>
      <c r="J170" s="333"/>
      <c r="M170" s="868"/>
    </row>
    <row r="171" spans="1:13">
      <c r="A171" s="305"/>
      <c r="B171" s="212"/>
      <c r="C171" s="326" t="s">
        <v>3980</v>
      </c>
      <c r="D171" s="212"/>
      <c r="E171" s="212"/>
      <c r="F171" s="372"/>
      <c r="G171" s="376" t="s">
        <v>4338</v>
      </c>
      <c r="H171" s="332"/>
      <c r="I171" s="279"/>
      <c r="J171" s="334"/>
      <c r="M171" s="868"/>
    </row>
    <row r="172" spans="1:13" ht="15.75" thickBot="1">
      <c r="A172" s="305"/>
      <c r="B172" s="212"/>
      <c r="C172" s="326"/>
      <c r="D172" s="212">
        <v>421</v>
      </c>
      <c r="E172" s="327"/>
      <c r="F172" s="379"/>
      <c r="G172" s="549" t="s">
        <v>137</v>
      </c>
      <c r="H172" s="332"/>
      <c r="I172" s="279"/>
      <c r="J172" s="334"/>
      <c r="M172" s="868"/>
    </row>
    <row r="173" spans="1:13">
      <c r="A173" s="305"/>
      <c r="B173" s="212"/>
      <c r="C173" s="329" t="s">
        <v>3980</v>
      </c>
      <c r="D173" s="212">
        <v>421</v>
      </c>
      <c r="E173" s="212">
        <v>69</v>
      </c>
      <c r="F173" s="810">
        <v>422</v>
      </c>
      <c r="G173" s="1334" t="s">
        <v>3773</v>
      </c>
      <c r="H173" s="494">
        <v>0</v>
      </c>
      <c r="I173" s="1335">
        <v>0</v>
      </c>
      <c r="J173" s="1271">
        <f t="shared" ref="J173:J179" si="5">SUM(H173:I173)</f>
        <v>0</v>
      </c>
      <c r="M173" s="868"/>
    </row>
    <row r="174" spans="1:13">
      <c r="A174" s="305"/>
      <c r="B174" s="212"/>
      <c r="C174" s="329" t="s">
        <v>3980</v>
      </c>
      <c r="D174" s="212">
        <v>421</v>
      </c>
      <c r="E174" s="212">
        <v>70</v>
      </c>
      <c r="F174" s="810">
        <v>423</v>
      </c>
      <c r="G174" s="1334" t="s">
        <v>3774</v>
      </c>
      <c r="H174" s="494">
        <v>300000</v>
      </c>
      <c r="I174" s="1335">
        <v>0</v>
      </c>
      <c r="J174" s="1271">
        <f t="shared" si="5"/>
        <v>300000</v>
      </c>
      <c r="M174" s="868"/>
    </row>
    <row r="175" spans="1:13">
      <c r="A175" s="305"/>
      <c r="B175" s="212"/>
      <c r="C175" s="329" t="s">
        <v>3980</v>
      </c>
      <c r="D175" s="212">
        <v>421</v>
      </c>
      <c r="E175" s="212">
        <v>71</v>
      </c>
      <c r="F175" s="810">
        <v>424</v>
      </c>
      <c r="G175" s="1336" t="s">
        <v>3776</v>
      </c>
      <c r="H175" s="494">
        <v>900000</v>
      </c>
      <c r="I175" s="1335">
        <v>0</v>
      </c>
      <c r="J175" s="1271">
        <f t="shared" si="5"/>
        <v>900000</v>
      </c>
      <c r="M175" s="868"/>
    </row>
    <row r="176" spans="1:13">
      <c r="A176" s="852"/>
      <c r="B176" s="212"/>
      <c r="C176" s="329" t="s">
        <v>3980</v>
      </c>
      <c r="D176" s="212">
        <v>421</v>
      </c>
      <c r="E176" s="212">
        <v>72</v>
      </c>
      <c r="F176" s="1337">
        <v>425</v>
      </c>
      <c r="G176" s="1338" t="s">
        <v>4033</v>
      </c>
      <c r="H176" s="386">
        <v>19500000</v>
      </c>
      <c r="I176" s="539">
        <v>0</v>
      </c>
      <c r="J176" s="388">
        <f>SUM(H176:I176)</f>
        <v>19500000</v>
      </c>
      <c r="M176" s="868"/>
    </row>
    <row r="177" spans="1:13">
      <c r="A177" s="305"/>
      <c r="B177" s="212"/>
      <c r="C177" s="329" t="s">
        <v>3980</v>
      </c>
      <c r="D177" s="212">
        <v>421</v>
      </c>
      <c r="E177" s="212">
        <v>73</v>
      </c>
      <c r="F177" s="810">
        <v>426</v>
      </c>
      <c r="G177" s="1336" t="s">
        <v>3780</v>
      </c>
      <c r="H177" s="494">
        <v>1200000</v>
      </c>
      <c r="I177" s="1335">
        <v>0</v>
      </c>
      <c r="J177" s="1271">
        <f t="shared" si="5"/>
        <v>1200000</v>
      </c>
      <c r="M177" s="868"/>
    </row>
    <row r="178" spans="1:13">
      <c r="A178" s="305"/>
      <c r="B178" s="212"/>
      <c r="C178" s="329" t="s">
        <v>3980</v>
      </c>
      <c r="D178" s="212">
        <v>421</v>
      </c>
      <c r="E178" s="212">
        <v>74</v>
      </c>
      <c r="F178" s="810">
        <v>4512</v>
      </c>
      <c r="G178" s="614" t="s">
        <v>4297</v>
      </c>
      <c r="H178" s="494">
        <v>4000000</v>
      </c>
      <c r="I178" s="1335">
        <v>0</v>
      </c>
      <c r="J178" s="1271">
        <f t="shared" si="5"/>
        <v>4000000</v>
      </c>
      <c r="M178" s="868"/>
    </row>
    <row r="179" spans="1:13" ht="14.25" customHeight="1" thickBot="1">
      <c r="A179" s="509"/>
      <c r="B179" s="212"/>
      <c r="C179" s="329" t="s">
        <v>3980</v>
      </c>
      <c r="D179" s="212">
        <v>421</v>
      </c>
      <c r="E179" s="212">
        <v>75</v>
      </c>
      <c r="F179" s="810">
        <v>481</v>
      </c>
      <c r="G179" s="614" t="s">
        <v>4459</v>
      </c>
      <c r="H179" s="494">
        <v>1000000</v>
      </c>
      <c r="I179" s="1335">
        <v>1000000</v>
      </c>
      <c r="J179" s="1271">
        <f t="shared" si="5"/>
        <v>2000000</v>
      </c>
      <c r="M179" s="868"/>
    </row>
    <row r="180" spans="1:13" ht="17.25" customHeight="1" thickBot="1">
      <c r="A180" s="305"/>
      <c r="B180" s="212"/>
      <c r="C180" s="329"/>
      <c r="D180" s="212"/>
      <c r="E180" s="212"/>
      <c r="F180" s="1189" t="s">
        <v>4699</v>
      </c>
      <c r="G180" s="1190"/>
      <c r="H180" s="401">
        <f>SUM(H173:H179)</f>
        <v>26900000</v>
      </c>
      <c r="I180" s="402">
        <f>SUM(I173:I179)</f>
        <v>1000000</v>
      </c>
      <c r="J180" s="403">
        <f>SUM(J173:J179)</f>
        <v>27900000</v>
      </c>
      <c r="M180" s="868"/>
    </row>
    <row r="181" spans="1:13" ht="92.25" customHeight="1" thickBot="1">
      <c r="A181" s="307"/>
      <c r="B181" s="312"/>
      <c r="C181" s="330"/>
      <c r="D181" s="312"/>
      <c r="E181" s="312"/>
      <c r="F181" s="1187" t="s">
        <v>4757</v>
      </c>
      <c r="G181" s="1188"/>
      <c r="H181" s="694">
        <f>H180</f>
        <v>26900000</v>
      </c>
      <c r="I181" s="566">
        <f>I180</f>
        <v>1000000</v>
      </c>
      <c r="J181" s="695">
        <f>J180</f>
        <v>27900000</v>
      </c>
      <c r="M181" s="868"/>
    </row>
    <row r="182" spans="1:13" ht="15.75" thickBot="1">
      <c r="A182" s="212"/>
      <c r="B182" s="212"/>
      <c r="C182" s="329"/>
      <c r="D182" s="212"/>
      <c r="E182" s="212"/>
      <c r="F182" s="406"/>
      <c r="G182" s="406"/>
      <c r="H182" s="407"/>
      <c r="I182" s="407"/>
      <c r="J182" s="584"/>
      <c r="M182" s="868"/>
    </row>
    <row r="183" spans="1:13" ht="32.25" customHeight="1">
      <c r="A183" s="321"/>
      <c r="B183" s="322"/>
      <c r="C183" s="323" t="s">
        <v>3574</v>
      </c>
      <c r="D183" s="324"/>
      <c r="E183" s="324"/>
      <c r="F183" s="365"/>
      <c r="G183" s="359" t="s">
        <v>4367</v>
      </c>
      <c r="H183" s="367"/>
      <c r="I183" s="360"/>
      <c r="J183" s="352"/>
      <c r="M183" s="868"/>
    </row>
    <row r="184" spans="1:13" ht="15" customHeight="1">
      <c r="A184" s="647"/>
      <c r="B184" s="212"/>
      <c r="C184" s="326" t="s">
        <v>4007</v>
      </c>
      <c r="D184" s="215"/>
      <c r="E184" s="215"/>
      <c r="F184" s="366"/>
      <c r="G184" s="361" t="s">
        <v>4476</v>
      </c>
      <c r="H184" s="368"/>
      <c r="I184" s="362"/>
      <c r="J184" s="353"/>
      <c r="M184" s="868"/>
    </row>
    <row r="185" spans="1:13" ht="15.75" thickBot="1">
      <c r="A185" s="647"/>
      <c r="B185" s="212"/>
      <c r="C185" s="326"/>
      <c r="D185" s="212">
        <v>451</v>
      </c>
      <c r="E185" s="327"/>
      <c r="F185" s="341"/>
      <c r="G185" s="363" t="s">
        <v>152</v>
      </c>
      <c r="H185" s="332"/>
      <c r="I185" s="279"/>
      <c r="J185" s="334"/>
      <c r="M185" s="868"/>
    </row>
    <row r="186" spans="1:13">
      <c r="A186" s="647"/>
      <c r="B186" s="212"/>
      <c r="C186" s="524" t="s">
        <v>4007</v>
      </c>
      <c r="D186" s="378">
        <v>451</v>
      </c>
      <c r="E186" s="378">
        <v>76</v>
      </c>
      <c r="F186" s="554">
        <v>423</v>
      </c>
      <c r="G186" s="929" t="s">
        <v>3774</v>
      </c>
      <c r="H186" s="500">
        <v>700000</v>
      </c>
      <c r="I186" s="1267">
        <v>0</v>
      </c>
      <c r="J186" s="1268">
        <f>SUM(H186:I186)</f>
        <v>700000</v>
      </c>
      <c r="M186" s="868"/>
    </row>
    <row r="187" spans="1:13">
      <c r="A187" s="1127"/>
      <c r="B187" s="212"/>
      <c r="C187" s="524" t="s">
        <v>4007</v>
      </c>
      <c r="D187" s="378">
        <v>451</v>
      </c>
      <c r="E187" s="378" t="s">
        <v>4737</v>
      </c>
      <c r="F187" s="575">
        <v>424</v>
      </c>
      <c r="G187" s="1304" t="s">
        <v>3776</v>
      </c>
      <c r="H187" s="609">
        <v>600000</v>
      </c>
      <c r="I187" s="1289">
        <v>0</v>
      </c>
      <c r="J187" s="1290">
        <f>H187+I187</f>
        <v>600000</v>
      </c>
      <c r="M187" s="868"/>
    </row>
    <row r="188" spans="1:13">
      <c r="A188" s="647"/>
      <c r="B188" s="212"/>
      <c r="C188" s="524" t="s">
        <v>4007</v>
      </c>
      <c r="D188" s="378">
        <v>451</v>
      </c>
      <c r="E188" s="378">
        <v>77</v>
      </c>
      <c r="F188" s="1339">
        <v>425</v>
      </c>
      <c r="G188" s="682" t="s">
        <v>4033</v>
      </c>
      <c r="H188" s="494">
        <v>3000000</v>
      </c>
      <c r="I188" s="1340">
        <v>0</v>
      </c>
      <c r="J188" s="1271">
        <f>SUM(H188:I188)</f>
        <v>3000000</v>
      </c>
      <c r="M188" s="868"/>
    </row>
    <row r="189" spans="1:13">
      <c r="A189" s="647"/>
      <c r="B189" s="212"/>
      <c r="C189" s="524" t="s">
        <v>4007</v>
      </c>
      <c r="D189" s="378">
        <v>451</v>
      </c>
      <c r="E189" s="378">
        <v>78</v>
      </c>
      <c r="F189" s="1339">
        <v>426</v>
      </c>
      <c r="G189" s="682" t="s">
        <v>3780</v>
      </c>
      <c r="H189" s="494">
        <v>100000</v>
      </c>
      <c r="I189" s="1340">
        <v>0</v>
      </c>
      <c r="J189" s="1271">
        <f>SUM(H189:I189)</f>
        <v>100000</v>
      </c>
      <c r="M189" s="868"/>
    </row>
    <row r="190" spans="1:13">
      <c r="A190" s="673"/>
      <c r="B190" s="212"/>
      <c r="C190" s="524" t="s">
        <v>4007</v>
      </c>
      <c r="D190" s="378">
        <v>451</v>
      </c>
      <c r="E190" s="525" t="s">
        <v>4643</v>
      </c>
      <c r="F190" s="1339">
        <v>511</v>
      </c>
      <c r="G190" s="1341" t="s">
        <v>4038</v>
      </c>
      <c r="H190" s="494">
        <v>0</v>
      </c>
      <c r="I190" s="1340">
        <v>0</v>
      </c>
      <c r="J190" s="1271">
        <f>SUM(H190:I190)</f>
        <v>0</v>
      </c>
      <c r="M190" s="868"/>
    </row>
    <row r="191" spans="1:13" ht="15.75" thickBot="1">
      <c r="A191" s="647"/>
      <c r="B191" s="212"/>
      <c r="C191" s="524" t="s">
        <v>4007</v>
      </c>
      <c r="D191" s="378">
        <v>451</v>
      </c>
      <c r="E191" s="378">
        <v>80</v>
      </c>
      <c r="F191" s="1342">
        <v>512</v>
      </c>
      <c r="G191" s="679" t="s">
        <v>4039</v>
      </c>
      <c r="H191" s="1343">
        <v>7000000</v>
      </c>
      <c r="I191" s="1344">
        <v>0</v>
      </c>
      <c r="J191" s="1345">
        <f>SUM(H191:I191)</f>
        <v>7000000</v>
      </c>
      <c r="M191" s="868"/>
    </row>
    <row r="192" spans="1:13" ht="47.25" customHeight="1" thickBot="1">
      <c r="A192" s="647"/>
      <c r="B192" s="212"/>
      <c r="C192" s="329"/>
      <c r="D192" s="212"/>
      <c r="E192" s="212"/>
      <c r="F192" s="1189" t="s">
        <v>4758</v>
      </c>
      <c r="G192" s="1190"/>
      <c r="H192" s="482">
        <f>SUM(H186:H191)</f>
        <v>11400000</v>
      </c>
      <c r="I192" s="489">
        <f>SUM(I186:I191)</f>
        <v>0</v>
      </c>
      <c r="J192" s="490">
        <f>SUM(J186:J191)</f>
        <v>11400000</v>
      </c>
      <c r="M192" s="868"/>
    </row>
    <row r="193" spans="1:13" ht="15.75" thickBot="1">
      <c r="A193" s="647"/>
      <c r="B193" s="212"/>
      <c r="C193" s="329"/>
      <c r="D193" s="212"/>
      <c r="E193" s="212"/>
      <c r="F193" s="212"/>
      <c r="G193" s="364"/>
      <c r="H193" s="278"/>
      <c r="I193" s="279"/>
      <c r="J193" s="306"/>
      <c r="M193" s="868"/>
    </row>
    <row r="194" spans="1:13" ht="28.5">
      <c r="A194" s="647"/>
      <c r="B194" s="212"/>
      <c r="C194" s="326" t="s">
        <v>4053</v>
      </c>
      <c r="D194" s="215"/>
      <c r="E194" s="215"/>
      <c r="F194" s="649"/>
      <c r="G194" s="359" t="s">
        <v>4477</v>
      </c>
      <c r="H194" s="331"/>
      <c r="I194" s="338"/>
      <c r="J194" s="333"/>
      <c r="M194" s="868"/>
    </row>
    <row r="195" spans="1:13" ht="15.75" thickBot="1">
      <c r="A195" s="647"/>
      <c r="B195" s="212"/>
      <c r="C195" s="326"/>
      <c r="D195" s="212">
        <v>451</v>
      </c>
      <c r="E195" s="327"/>
      <c r="F195" s="650"/>
      <c r="G195" s="587" t="s">
        <v>152</v>
      </c>
      <c r="H195" s="342"/>
      <c r="I195" s="309"/>
      <c r="J195" s="343"/>
      <c r="M195" s="868"/>
    </row>
    <row r="196" spans="1:13">
      <c r="A196" s="647"/>
      <c r="B196" s="212"/>
      <c r="C196" s="524" t="s">
        <v>4053</v>
      </c>
      <c r="D196" s="378">
        <v>451</v>
      </c>
      <c r="E196" s="378">
        <v>81</v>
      </c>
      <c r="F196" s="554">
        <v>424</v>
      </c>
      <c r="G196" s="555" t="s">
        <v>3776</v>
      </c>
      <c r="H196" s="500">
        <v>1000000</v>
      </c>
      <c r="I196" s="1267">
        <v>0</v>
      </c>
      <c r="J196" s="1268">
        <f>H196+I196</f>
        <v>1000000</v>
      </c>
      <c r="M196" s="868"/>
    </row>
    <row r="197" spans="1:13">
      <c r="A197" s="647"/>
      <c r="B197" s="212"/>
      <c r="C197" s="524" t="s">
        <v>4053</v>
      </c>
      <c r="D197" s="378">
        <v>451</v>
      </c>
      <c r="E197" s="378">
        <v>82</v>
      </c>
      <c r="F197" s="1346">
        <v>425</v>
      </c>
      <c r="G197" s="1347" t="s">
        <v>4033</v>
      </c>
      <c r="H197" s="494">
        <v>24000000</v>
      </c>
      <c r="I197" s="1348">
        <v>0</v>
      </c>
      <c r="J197" s="1271">
        <f>H197+I197</f>
        <v>24000000</v>
      </c>
      <c r="M197" s="868"/>
    </row>
    <row r="198" spans="1:13">
      <c r="A198" s="647"/>
      <c r="B198" s="212"/>
      <c r="C198" s="524" t="s">
        <v>4053</v>
      </c>
      <c r="D198" s="378">
        <v>451</v>
      </c>
      <c r="E198" s="378">
        <v>83</v>
      </c>
      <c r="F198" s="1346">
        <v>426</v>
      </c>
      <c r="G198" s="1347" t="s">
        <v>3780</v>
      </c>
      <c r="H198" s="494">
        <v>300000</v>
      </c>
      <c r="I198" s="1348">
        <v>0</v>
      </c>
      <c r="J198" s="1271">
        <f>H198+I198</f>
        <v>300000</v>
      </c>
      <c r="M198" s="868"/>
    </row>
    <row r="199" spans="1:13" ht="15.75" thickBot="1">
      <c r="A199" s="647"/>
      <c r="B199" s="212"/>
      <c r="C199" s="524" t="s">
        <v>4053</v>
      </c>
      <c r="D199" s="378">
        <v>451</v>
      </c>
      <c r="E199" s="378">
        <v>84</v>
      </c>
      <c r="F199" s="1349">
        <v>511</v>
      </c>
      <c r="G199" s="1350" t="s">
        <v>4038</v>
      </c>
      <c r="H199" s="1351">
        <v>2400000</v>
      </c>
      <c r="I199" s="1352"/>
      <c r="J199" s="1353">
        <f>H199+I199</f>
        <v>2400000</v>
      </c>
      <c r="M199" s="868"/>
    </row>
    <row r="200" spans="1:13" ht="29.25" customHeight="1" thickBot="1">
      <c r="A200" s="647"/>
      <c r="B200" s="212"/>
      <c r="C200" s="524"/>
      <c r="D200" s="212"/>
      <c r="E200" s="212"/>
      <c r="F200" s="1189" t="s">
        <v>4596</v>
      </c>
      <c r="G200" s="1190"/>
      <c r="H200" s="401">
        <f>SUM(H196:H199)</f>
        <v>27700000</v>
      </c>
      <c r="I200" s="401">
        <f>SUM(I196:I199)</f>
        <v>0</v>
      </c>
      <c r="J200" s="401">
        <f>SUM(J196:J199)</f>
        <v>27700000</v>
      </c>
      <c r="M200" s="868"/>
    </row>
    <row r="201" spans="1:13" ht="15.75" thickBot="1">
      <c r="A201" s="647"/>
      <c r="B201" s="212"/>
      <c r="C201" s="524"/>
      <c r="D201" s="212"/>
      <c r="E201" s="212"/>
      <c r="F201" s="586"/>
      <c r="G201" s="406"/>
      <c r="H201" s="572"/>
      <c r="I201" s="407"/>
      <c r="J201" s="572"/>
      <c r="M201" s="868"/>
    </row>
    <row r="202" spans="1:13">
      <c r="A202" s="523"/>
      <c r="B202" s="378"/>
      <c r="C202" s="404" t="s">
        <v>4123</v>
      </c>
      <c r="D202" s="378"/>
      <c r="E202" s="378"/>
      <c r="F202" s="590"/>
      <c r="G202" s="588" t="s">
        <v>4585</v>
      </c>
      <c r="H202" s="573"/>
      <c r="I202" s="574"/>
      <c r="J202" s="573"/>
      <c r="M202" s="868"/>
    </row>
    <row r="203" spans="1:13" ht="15.75" thickBot="1">
      <c r="A203" s="523"/>
      <c r="B203" s="378"/>
      <c r="C203" s="524"/>
      <c r="D203" s="378">
        <v>451</v>
      </c>
      <c r="E203" s="603"/>
      <c r="F203" s="676"/>
      <c r="G203" s="775" t="s">
        <v>152</v>
      </c>
      <c r="H203" s="572"/>
      <c r="I203" s="407"/>
      <c r="J203" s="572"/>
      <c r="M203" s="868"/>
    </row>
    <row r="204" spans="1:13" ht="15.75" thickBot="1">
      <c r="A204" s="735"/>
      <c r="B204" s="212"/>
      <c r="C204" s="524" t="s">
        <v>4123</v>
      </c>
      <c r="D204" s="212">
        <v>451</v>
      </c>
      <c r="E204" s="677">
        <v>85</v>
      </c>
      <c r="F204" s="554">
        <v>423</v>
      </c>
      <c r="G204" s="746" t="s">
        <v>3774</v>
      </c>
      <c r="H204" s="747">
        <v>0</v>
      </c>
      <c r="I204" s="1302">
        <v>0</v>
      </c>
      <c r="J204" s="1354">
        <f>H204+I204</f>
        <v>0</v>
      </c>
      <c r="M204" s="868"/>
    </row>
    <row r="205" spans="1:13" ht="15.75" thickBot="1">
      <c r="A205" s="735"/>
      <c r="B205" s="212"/>
      <c r="C205" s="524" t="s">
        <v>4123</v>
      </c>
      <c r="D205" s="212">
        <v>451</v>
      </c>
      <c r="E205" s="378">
        <v>86</v>
      </c>
      <c r="F205" s="742">
        <v>511</v>
      </c>
      <c r="G205" s="1355" t="s">
        <v>4038</v>
      </c>
      <c r="H205" s="748">
        <v>4500000</v>
      </c>
      <c r="I205" s="1356"/>
      <c r="J205" s="1356">
        <f>H205+I205</f>
        <v>4500000</v>
      </c>
      <c r="M205" s="868"/>
    </row>
    <row r="206" spans="1:13" ht="29.25" customHeight="1" thickBot="1">
      <c r="A206" s="735"/>
      <c r="B206" s="212"/>
      <c r="C206" s="524"/>
      <c r="D206" s="212"/>
      <c r="E206" s="212"/>
      <c r="F206" s="1189" t="s">
        <v>4602</v>
      </c>
      <c r="G206" s="1190"/>
      <c r="H206" s="401">
        <f>SUM(H201:H205)</f>
        <v>4500000</v>
      </c>
      <c r="I206" s="401">
        <f t="shared" ref="I206:J206" si="6">SUM(I201:I205)</f>
        <v>0</v>
      </c>
      <c r="J206" s="401">
        <f t="shared" si="6"/>
        <v>4500000</v>
      </c>
      <c r="M206" s="868"/>
    </row>
    <row r="207" spans="1:13" ht="15.75" thickBot="1">
      <c r="A207" s="735"/>
      <c r="B207" s="212"/>
      <c r="C207" s="524"/>
      <c r="D207" s="212"/>
      <c r="E207" s="212"/>
      <c r="F207" s="586"/>
      <c r="G207" s="406"/>
      <c r="H207" s="572"/>
      <c r="I207" s="407"/>
      <c r="J207" s="572"/>
      <c r="M207" s="868"/>
    </row>
    <row r="208" spans="1:13">
      <c r="A208" s="735"/>
      <c r="B208" s="212"/>
      <c r="C208" s="404" t="s">
        <v>4368</v>
      </c>
      <c r="D208" s="212"/>
      <c r="E208" s="212"/>
      <c r="F208" s="590"/>
      <c r="G208" s="588" t="s">
        <v>4586</v>
      </c>
      <c r="H208" s="573"/>
      <c r="I208" s="574"/>
      <c r="J208" s="573"/>
      <c r="M208" s="868"/>
    </row>
    <row r="209" spans="1:13" ht="15.75" thickBot="1">
      <c r="A209" s="735"/>
      <c r="B209" s="212"/>
      <c r="C209" s="524"/>
      <c r="D209" s="212">
        <v>451</v>
      </c>
      <c r="E209" s="327"/>
      <c r="F209" s="676"/>
      <c r="G209" s="775" t="s">
        <v>152</v>
      </c>
      <c r="H209" s="572"/>
      <c r="I209" s="407"/>
      <c r="J209" s="572"/>
      <c r="M209" s="868"/>
    </row>
    <row r="210" spans="1:13" ht="15.75" thickBot="1">
      <c r="A210" s="735"/>
      <c r="B210" s="212"/>
      <c r="C210" s="524" t="s">
        <v>4368</v>
      </c>
      <c r="D210" s="212">
        <v>451</v>
      </c>
      <c r="E210" s="677">
        <v>87</v>
      </c>
      <c r="F210" s="554">
        <v>423</v>
      </c>
      <c r="G210" s="746" t="s">
        <v>3774</v>
      </c>
      <c r="H210" s="747">
        <v>0</v>
      </c>
      <c r="I210" s="1302">
        <v>0</v>
      </c>
      <c r="J210" s="1354">
        <f>H210+I210</f>
        <v>0</v>
      </c>
      <c r="M210" s="868"/>
    </row>
    <row r="211" spans="1:13" ht="15.75" thickBot="1">
      <c r="A211" s="735"/>
      <c r="B211" s="212"/>
      <c r="C211" s="524" t="s">
        <v>4368</v>
      </c>
      <c r="D211" s="212">
        <v>451</v>
      </c>
      <c r="E211" s="378">
        <v>88</v>
      </c>
      <c r="F211" s="742">
        <v>511</v>
      </c>
      <c r="G211" s="1355" t="s">
        <v>4038</v>
      </c>
      <c r="H211" s="748">
        <v>7500000</v>
      </c>
      <c r="I211" s="1356"/>
      <c r="J211" s="1356">
        <f>H211+I211</f>
        <v>7500000</v>
      </c>
      <c r="M211" s="868"/>
    </row>
    <row r="212" spans="1:13" ht="30" customHeight="1" thickBot="1">
      <c r="A212" s="735"/>
      <c r="B212" s="212"/>
      <c r="C212" s="524"/>
      <c r="D212" s="212"/>
      <c r="E212" s="212"/>
      <c r="F212" s="1189" t="s">
        <v>4597</v>
      </c>
      <c r="G212" s="1190"/>
      <c r="H212" s="401">
        <f>SUM(H207:H211)</f>
        <v>7500000</v>
      </c>
      <c r="I212" s="401">
        <f t="shared" ref="I212:J212" si="7">SUM(I207:I211)</f>
        <v>0</v>
      </c>
      <c r="J212" s="401">
        <f t="shared" si="7"/>
        <v>7500000</v>
      </c>
      <c r="M212" s="868"/>
    </row>
    <row r="213" spans="1:13" ht="15.75" thickBot="1">
      <c r="A213" s="735"/>
      <c r="B213" s="212"/>
      <c r="C213" s="524"/>
      <c r="D213" s="212"/>
      <c r="E213" s="212"/>
      <c r="F213" s="586"/>
      <c r="G213" s="406"/>
      <c r="H213" s="572"/>
      <c r="I213" s="407"/>
      <c r="J213" s="572"/>
      <c r="M213" s="868"/>
    </row>
    <row r="214" spans="1:13" ht="28.5">
      <c r="A214" s="735"/>
      <c r="B214" s="212"/>
      <c r="C214" s="404" t="s">
        <v>4589</v>
      </c>
      <c r="D214" s="212"/>
      <c r="E214" s="212"/>
      <c r="F214" s="590"/>
      <c r="G214" s="588" t="s">
        <v>4587</v>
      </c>
      <c r="H214" s="573"/>
      <c r="I214" s="574"/>
      <c r="J214" s="573"/>
      <c r="M214" s="868"/>
    </row>
    <row r="215" spans="1:13" ht="15.75" thickBot="1">
      <c r="A215" s="735"/>
      <c r="B215" s="212"/>
      <c r="C215" s="524"/>
      <c r="D215" s="212">
        <v>451</v>
      </c>
      <c r="E215" s="327"/>
      <c r="F215" s="650"/>
      <c r="G215" s="589" t="s">
        <v>152</v>
      </c>
      <c r="H215" s="572"/>
      <c r="I215" s="407"/>
      <c r="J215" s="572"/>
      <c r="M215" s="868"/>
    </row>
    <row r="216" spans="1:13" ht="15.75" thickBot="1">
      <c r="A216" s="735"/>
      <c r="B216" s="212"/>
      <c r="C216" s="524" t="s">
        <v>4589</v>
      </c>
      <c r="D216" s="212">
        <v>451</v>
      </c>
      <c r="E216" s="677">
        <v>89</v>
      </c>
      <c r="F216" s="554">
        <v>423</v>
      </c>
      <c r="G216" s="746" t="s">
        <v>3774</v>
      </c>
      <c r="H216" s="747">
        <v>0</v>
      </c>
      <c r="I216" s="1302">
        <v>0</v>
      </c>
      <c r="J216" s="1354">
        <f>H216+I216</f>
        <v>0</v>
      </c>
      <c r="M216" s="868"/>
    </row>
    <row r="217" spans="1:13" ht="15.75" thickBot="1">
      <c r="A217" s="735"/>
      <c r="B217" s="212"/>
      <c r="C217" s="524" t="s">
        <v>4589</v>
      </c>
      <c r="D217" s="212">
        <v>451</v>
      </c>
      <c r="E217" s="378">
        <v>90</v>
      </c>
      <c r="F217" s="742">
        <v>511</v>
      </c>
      <c r="G217" s="1355" t="s">
        <v>4038</v>
      </c>
      <c r="H217" s="748">
        <v>3150000</v>
      </c>
      <c r="I217" s="1356"/>
      <c r="J217" s="1356">
        <f>H217+I217</f>
        <v>3150000</v>
      </c>
      <c r="M217" s="868"/>
    </row>
    <row r="218" spans="1:13" ht="31.5" customHeight="1" thickBot="1">
      <c r="A218" s="735"/>
      <c r="B218" s="212"/>
      <c r="C218" s="524"/>
      <c r="D218" s="212"/>
      <c r="E218" s="212"/>
      <c r="F218" s="1189" t="s">
        <v>4637</v>
      </c>
      <c r="G218" s="1190"/>
      <c r="H218" s="401">
        <f>SUM(H214:H217)</f>
        <v>3150000</v>
      </c>
      <c r="I218" s="401">
        <f>SUM(I214:I217)</f>
        <v>0</v>
      </c>
      <c r="J218" s="401">
        <f>SUM(J214:J217)</f>
        <v>3150000</v>
      </c>
      <c r="M218" s="868"/>
    </row>
    <row r="219" spans="1:13" ht="15.75" thickBot="1">
      <c r="A219" s="735"/>
      <c r="B219" s="212"/>
      <c r="C219" s="524"/>
      <c r="D219" s="212"/>
      <c r="E219" s="212"/>
      <c r="F219" s="586"/>
      <c r="G219" s="406"/>
      <c r="H219" s="572"/>
      <c r="I219" s="407"/>
      <c r="J219" s="572"/>
      <c r="M219" s="868"/>
    </row>
    <row r="220" spans="1:13" ht="28.5">
      <c r="A220" s="735"/>
      <c r="B220" s="212"/>
      <c r="C220" s="404" t="s">
        <v>4590</v>
      </c>
      <c r="D220" s="212"/>
      <c r="E220" s="212"/>
      <c r="F220" s="590"/>
      <c r="G220" s="588" t="s">
        <v>4588</v>
      </c>
      <c r="H220" s="573"/>
      <c r="I220" s="574"/>
      <c r="J220" s="573"/>
      <c r="M220" s="868"/>
    </row>
    <row r="221" spans="1:13" ht="15.75" thickBot="1">
      <c r="A221" s="735"/>
      <c r="B221" s="212"/>
      <c r="C221" s="524"/>
      <c r="D221" s="212">
        <v>451</v>
      </c>
      <c r="E221" s="327"/>
      <c r="F221" s="650"/>
      <c r="G221" s="589" t="s">
        <v>152</v>
      </c>
      <c r="H221" s="572"/>
      <c r="I221" s="407"/>
      <c r="J221" s="572"/>
      <c r="M221" s="868"/>
    </row>
    <row r="222" spans="1:13" ht="15.75" thickBot="1">
      <c r="A222" s="735"/>
      <c r="B222" s="212"/>
      <c r="C222" s="524" t="s">
        <v>4590</v>
      </c>
      <c r="D222" s="212">
        <v>451</v>
      </c>
      <c r="E222" s="677">
        <v>91</v>
      </c>
      <c r="F222" s="554">
        <v>423</v>
      </c>
      <c r="G222" s="746" t="s">
        <v>3774</v>
      </c>
      <c r="H222" s="747">
        <v>0</v>
      </c>
      <c r="I222" s="1302">
        <v>0</v>
      </c>
      <c r="J222" s="1354">
        <f>H222+I222</f>
        <v>0</v>
      </c>
      <c r="M222" s="868"/>
    </row>
    <row r="223" spans="1:13" ht="15.75" thickBot="1">
      <c r="A223" s="735"/>
      <c r="B223" s="212"/>
      <c r="C223" s="524" t="s">
        <v>4590</v>
      </c>
      <c r="D223" s="212">
        <v>451</v>
      </c>
      <c r="E223" s="378">
        <v>92</v>
      </c>
      <c r="F223" s="742">
        <v>511</v>
      </c>
      <c r="G223" s="1355" t="s">
        <v>4038</v>
      </c>
      <c r="H223" s="748">
        <v>6200000</v>
      </c>
      <c r="I223" s="1356"/>
      <c r="J223" s="1356">
        <f>H223+I223</f>
        <v>6200000</v>
      </c>
      <c r="M223" s="868"/>
    </row>
    <row r="224" spans="1:13" ht="34.5" customHeight="1" thickBot="1">
      <c r="A224" s="735"/>
      <c r="B224" s="212"/>
      <c r="C224" s="524"/>
      <c r="D224" s="212"/>
      <c r="E224" s="212"/>
      <c r="F224" s="1189" t="s">
        <v>4607</v>
      </c>
      <c r="G224" s="1190"/>
      <c r="H224" s="401">
        <f>SUM(H219:H223)</f>
        <v>6200000</v>
      </c>
      <c r="I224" s="401">
        <f t="shared" ref="I224:J224" si="8">SUM(I219:I223)</f>
        <v>0</v>
      </c>
      <c r="J224" s="401">
        <f t="shared" si="8"/>
        <v>6200000</v>
      </c>
      <c r="M224" s="868"/>
    </row>
    <row r="225" spans="1:13" ht="15.75" thickBot="1">
      <c r="A225" s="735"/>
      <c r="B225" s="212"/>
      <c r="C225" s="524"/>
      <c r="D225" s="212"/>
      <c r="E225" s="212"/>
      <c r="F225" s="1247"/>
      <c r="G225" s="1248"/>
      <c r="H225" s="1248"/>
      <c r="I225" s="1248"/>
      <c r="J225" s="1249"/>
      <c r="M225" s="868"/>
    </row>
    <row r="226" spans="1:13" ht="42.75">
      <c r="A226" s="735"/>
      <c r="B226" s="212"/>
      <c r="C226" s="404" t="s">
        <v>4452</v>
      </c>
      <c r="D226" s="212"/>
      <c r="E226" s="212"/>
      <c r="F226" s="590"/>
      <c r="G226" s="588" t="s">
        <v>4575</v>
      </c>
      <c r="H226" s="573"/>
      <c r="I226" s="574"/>
      <c r="J226" s="573"/>
      <c r="M226" s="868"/>
    </row>
    <row r="227" spans="1:13" ht="15.75" thickBot="1">
      <c r="A227" s="735"/>
      <c r="B227" s="212"/>
      <c r="C227" s="524"/>
      <c r="D227" s="212">
        <v>451</v>
      </c>
      <c r="E227" s="327"/>
      <c r="F227" s="650"/>
      <c r="G227" s="589" t="s">
        <v>152</v>
      </c>
      <c r="H227" s="572"/>
      <c r="I227" s="407"/>
      <c r="J227" s="572"/>
      <c r="M227" s="868"/>
    </row>
    <row r="228" spans="1:13" ht="15.75" thickBot="1">
      <c r="A228" s="735"/>
      <c r="B228" s="212"/>
      <c r="C228" s="524" t="s">
        <v>4452</v>
      </c>
      <c r="D228" s="212">
        <v>451</v>
      </c>
      <c r="E228" s="677">
        <v>93</v>
      </c>
      <c r="F228" s="554">
        <v>423</v>
      </c>
      <c r="G228" s="746" t="s">
        <v>3774</v>
      </c>
      <c r="H228" s="747">
        <v>50000</v>
      </c>
      <c r="I228" s="1302">
        <v>0</v>
      </c>
      <c r="J228" s="1354">
        <f>H228+I228</f>
        <v>50000</v>
      </c>
      <c r="M228" s="868"/>
    </row>
    <row r="229" spans="1:13" ht="15.75" thickBot="1">
      <c r="A229" s="735"/>
      <c r="B229" s="212"/>
      <c r="C229" s="524" t="s">
        <v>4452</v>
      </c>
      <c r="D229" s="212">
        <v>451</v>
      </c>
      <c r="E229" s="378">
        <v>94</v>
      </c>
      <c r="F229" s="742">
        <v>511</v>
      </c>
      <c r="G229" s="1355" t="s">
        <v>4038</v>
      </c>
      <c r="H229" s="748">
        <v>2000000</v>
      </c>
      <c r="I229" s="1356">
        <v>5500000</v>
      </c>
      <c r="J229" s="1356">
        <f>H229+I229</f>
        <v>7500000</v>
      </c>
      <c r="M229" s="868"/>
    </row>
    <row r="230" spans="1:13" ht="45.75" customHeight="1" thickBot="1">
      <c r="A230" s="735"/>
      <c r="B230" s="212"/>
      <c r="C230" s="524"/>
      <c r="D230" s="212"/>
      <c r="E230" s="212"/>
      <c r="F230" s="1189" t="s">
        <v>4713</v>
      </c>
      <c r="G230" s="1190"/>
      <c r="H230" s="401">
        <f>SUM(H228:H229)</f>
        <v>2050000</v>
      </c>
      <c r="I230" s="401">
        <f t="shared" ref="I230:J230" si="9">SUM(I228:I229)</f>
        <v>5500000</v>
      </c>
      <c r="J230" s="401">
        <f t="shared" si="9"/>
        <v>7550000</v>
      </c>
      <c r="M230" s="868"/>
    </row>
    <row r="231" spans="1:13" ht="15.75" thickBot="1">
      <c r="A231" s="735"/>
      <c r="B231" s="212"/>
      <c r="C231" s="524"/>
      <c r="D231" s="212"/>
      <c r="E231" s="212"/>
      <c r="F231" s="1174"/>
      <c r="G231" s="1175"/>
      <c r="H231" s="1175"/>
      <c r="I231" s="1175"/>
      <c r="J231" s="1245"/>
      <c r="M231" s="868"/>
    </row>
    <row r="232" spans="1:13" ht="28.5">
      <c r="A232" s="735"/>
      <c r="B232" s="212"/>
      <c r="C232" s="404" t="s">
        <v>4124</v>
      </c>
      <c r="D232" s="212"/>
      <c r="E232" s="212"/>
      <c r="F232" s="590"/>
      <c r="G232" s="588" t="s">
        <v>4583</v>
      </c>
      <c r="H232" s="573"/>
      <c r="I232" s="574"/>
      <c r="J232" s="573"/>
      <c r="M232" s="868"/>
    </row>
    <row r="233" spans="1:13" ht="15.75" thickBot="1">
      <c r="A233" s="735"/>
      <c r="B233" s="212"/>
      <c r="C233" s="524"/>
      <c r="D233" s="212">
        <v>451</v>
      </c>
      <c r="E233" s="327"/>
      <c r="F233" s="650"/>
      <c r="G233" s="589" t="s">
        <v>152</v>
      </c>
      <c r="H233" s="572"/>
      <c r="I233" s="407"/>
      <c r="J233" s="572"/>
      <c r="M233" s="868"/>
    </row>
    <row r="234" spans="1:13" ht="15.75" thickBot="1">
      <c r="A234" s="735"/>
      <c r="B234" s="212"/>
      <c r="C234" s="524" t="s">
        <v>4124</v>
      </c>
      <c r="D234" s="212">
        <v>451</v>
      </c>
      <c r="E234" s="677">
        <v>95</v>
      </c>
      <c r="F234" s="554">
        <v>423</v>
      </c>
      <c r="G234" s="746" t="s">
        <v>3774</v>
      </c>
      <c r="H234" s="747">
        <v>0</v>
      </c>
      <c r="I234" s="1302">
        <v>0</v>
      </c>
      <c r="J234" s="1354">
        <f>H234+I234</f>
        <v>0</v>
      </c>
      <c r="M234" s="868"/>
    </row>
    <row r="235" spans="1:13" ht="15.75" thickBot="1">
      <c r="A235" s="735"/>
      <c r="B235" s="212"/>
      <c r="C235" s="524" t="s">
        <v>4124</v>
      </c>
      <c r="D235" s="212">
        <v>451</v>
      </c>
      <c r="E235" s="378">
        <v>96</v>
      </c>
      <c r="F235" s="742">
        <v>511</v>
      </c>
      <c r="G235" s="1355" t="s">
        <v>4038</v>
      </c>
      <c r="H235" s="748">
        <v>2500000</v>
      </c>
      <c r="I235" s="1356">
        <v>0</v>
      </c>
      <c r="J235" s="1356">
        <f>H235+I235</f>
        <v>2500000</v>
      </c>
      <c r="M235" s="868"/>
    </row>
    <row r="236" spans="1:13" ht="51.75" customHeight="1" thickBot="1">
      <c r="A236" s="735"/>
      <c r="B236" s="212"/>
      <c r="C236" s="524"/>
      <c r="D236" s="212"/>
      <c r="E236" s="212"/>
      <c r="F236" s="1189" t="s">
        <v>4753</v>
      </c>
      <c r="G236" s="1190"/>
      <c r="H236" s="401">
        <f>SUM(H231:H235)</f>
        <v>2500000</v>
      </c>
      <c r="I236" s="401">
        <f t="shared" ref="I236:J236" si="10">SUM(I231:I235)</f>
        <v>0</v>
      </c>
      <c r="J236" s="401">
        <f t="shared" si="10"/>
        <v>2500000</v>
      </c>
      <c r="M236" s="868"/>
    </row>
    <row r="237" spans="1:13" ht="15.75" thickBot="1">
      <c r="A237" s="735"/>
      <c r="B237" s="212"/>
      <c r="C237" s="524"/>
      <c r="D237" s="212"/>
      <c r="E237" s="212"/>
      <c r="F237" s="767"/>
      <c r="G237" s="608"/>
      <c r="H237" s="608"/>
      <c r="I237" s="608"/>
      <c r="J237" s="768"/>
      <c r="M237" s="868"/>
    </row>
    <row r="238" spans="1:13" ht="28.5">
      <c r="A238" s="735"/>
      <c r="B238" s="212"/>
      <c r="C238" s="404" t="s">
        <v>4125</v>
      </c>
      <c r="D238" s="212"/>
      <c r="E238" s="212"/>
      <c r="F238" s="590"/>
      <c r="G238" s="588" t="s">
        <v>4655</v>
      </c>
      <c r="H238" s="573"/>
      <c r="I238" s="574"/>
      <c r="J238" s="573"/>
      <c r="M238" s="868"/>
    </row>
    <row r="239" spans="1:13" ht="15.75" thickBot="1">
      <c r="A239" s="735"/>
      <c r="B239" s="212"/>
      <c r="C239" s="524"/>
      <c r="D239" s="212">
        <v>451</v>
      </c>
      <c r="E239" s="327"/>
      <c r="F239" s="650"/>
      <c r="G239" s="589" t="s">
        <v>152</v>
      </c>
      <c r="H239" s="582"/>
      <c r="I239" s="591"/>
      <c r="J239" s="582"/>
      <c r="M239" s="868"/>
    </row>
    <row r="240" spans="1:13" ht="18.75" customHeight="1" thickBot="1">
      <c r="A240" s="735"/>
      <c r="B240" s="212"/>
      <c r="C240" s="524" t="s">
        <v>4125</v>
      </c>
      <c r="D240" s="212">
        <v>451</v>
      </c>
      <c r="E240" s="378">
        <v>97</v>
      </c>
      <c r="F240" s="1349">
        <v>511</v>
      </c>
      <c r="G240" s="1350" t="s">
        <v>4038</v>
      </c>
      <c r="H240" s="1357">
        <v>22000000</v>
      </c>
      <c r="I240" s="1358">
        <v>0</v>
      </c>
      <c r="J240" s="1357">
        <f>H240+I240</f>
        <v>22000000</v>
      </c>
      <c r="L240" s="1262"/>
      <c r="M240" s="868"/>
    </row>
    <row r="241" spans="1:13" ht="60" customHeight="1" thickBot="1">
      <c r="A241" s="735"/>
      <c r="B241" s="212"/>
      <c r="C241" s="524"/>
      <c r="D241" s="212"/>
      <c r="E241" s="212"/>
      <c r="F241" s="1239" t="s">
        <v>4740</v>
      </c>
      <c r="G241" s="1240"/>
      <c r="H241" s="401">
        <f>SUM(H238:H240)</f>
        <v>22000000</v>
      </c>
      <c r="I241" s="401">
        <f>SUM(I238:I240)</f>
        <v>0</v>
      </c>
      <c r="J241" s="401">
        <f>SUM(J238:J240)</f>
        <v>22000000</v>
      </c>
      <c r="M241" s="868"/>
    </row>
    <row r="242" spans="1:13" ht="15.75" thickBot="1">
      <c r="A242" s="735"/>
      <c r="B242" s="212"/>
      <c r="C242" s="524"/>
      <c r="D242" s="212"/>
      <c r="E242" s="212"/>
      <c r="F242" s="767"/>
      <c r="G242" s="608"/>
      <c r="H242" s="608"/>
      <c r="I242" s="608"/>
      <c r="J242" s="768"/>
      <c r="M242" s="868"/>
    </row>
    <row r="243" spans="1:13" ht="28.5">
      <c r="A243" s="647"/>
      <c r="B243" s="212"/>
      <c r="C243" s="404" t="s">
        <v>4126</v>
      </c>
      <c r="D243" s="212"/>
      <c r="E243" s="212"/>
      <c r="F243" s="590"/>
      <c r="G243" s="588" t="s">
        <v>4584</v>
      </c>
      <c r="H243" s="573"/>
      <c r="I243" s="574"/>
      <c r="J243" s="573"/>
      <c r="M243" s="868"/>
    </row>
    <row r="244" spans="1:13" ht="15.75" thickBot="1">
      <c r="A244" s="647"/>
      <c r="B244" s="212"/>
      <c r="C244" s="524"/>
      <c r="D244" s="212">
        <v>451</v>
      </c>
      <c r="E244" s="327"/>
      <c r="F244" s="650"/>
      <c r="G244" s="589" t="s">
        <v>152</v>
      </c>
      <c r="H244" s="582"/>
      <c r="I244" s="591"/>
      <c r="J244" s="582"/>
      <c r="M244" s="868"/>
    </row>
    <row r="245" spans="1:13" ht="15.75" thickBot="1">
      <c r="A245" s="647"/>
      <c r="B245" s="212"/>
      <c r="C245" s="524" t="s">
        <v>4126</v>
      </c>
      <c r="D245" s="212">
        <v>451</v>
      </c>
      <c r="E245" s="378">
        <v>98</v>
      </c>
      <c r="F245" s="1349">
        <v>511</v>
      </c>
      <c r="G245" s="1350" t="s">
        <v>4038</v>
      </c>
      <c r="H245" s="1357">
        <v>17100000</v>
      </c>
      <c r="I245" s="1358">
        <v>0</v>
      </c>
      <c r="J245" s="1357">
        <f>H245+I245</f>
        <v>17100000</v>
      </c>
      <c r="M245" s="868"/>
    </row>
    <row r="246" spans="1:13" ht="51" customHeight="1" thickBot="1">
      <c r="A246" s="647"/>
      <c r="B246" s="212"/>
      <c r="C246" s="524"/>
      <c r="D246" s="212"/>
      <c r="E246" s="212"/>
      <c r="F246" s="1189" t="s">
        <v>4715</v>
      </c>
      <c r="G246" s="1190"/>
      <c r="H246" s="401">
        <f>SUM(H243:H245)</f>
        <v>17100000</v>
      </c>
      <c r="I246" s="401">
        <f>SUM(I243:I245)</f>
        <v>0</v>
      </c>
      <c r="J246" s="401">
        <f>SUM(J243:J245)</f>
        <v>17100000</v>
      </c>
      <c r="M246" s="868"/>
    </row>
    <row r="247" spans="1:13" ht="102.75" customHeight="1" thickBot="1">
      <c r="A247" s="307"/>
      <c r="B247" s="312"/>
      <c r="C247" s="345"/>
      <c r="D247" s="346"/>
      <c r="E247" s="312"/>
      <c r="F247" s="1187" t="s">
        <v>4747</v>
      </c>
      <c r="G247" s="1188"/>
      <c r="H247" s="566">
        <f>H192+H200+H206+H212+H218+H224+H230+H236+H241+H246</f>
        <v>104100000</v>
      </c>
      <c r="I247" s="566">
        <f>I192+I200+I206+I212+I218+I224+I230+I236+I241+I246</f>
        <v>5500000</v>
      </c>
      <c r="J247" s="566">
        <f>J192+J200+J206+J212+J218+J224+J230+J236+J241+J246</f>
        <v>109600000</v>
      </c>
      <c r="M247" s="868"/>
    </row>
    <row r="248" spans="1:13" ht="15.75" thickBot="1">
      <c r="A248" s="212"/>
      <c r="B248" s="212"/>
      <c r="C248" s="326"/>
      <c r="D248" s="215"/>
      <c r="E248" s="212"/>
      <c r="F248" s="212"/>
      <c r="G248" s="222"/>
      <c r="H248" s="278"/>
      <c r="I248" s="279"/>
      <c r="J248" s="279"/>
      <c r="M248" s="868"/>
    </row>
    <row r="249" spans="1:13" ht="29.25" thickBot="1">
      <c r="A249" s="1174"/>
      <c r="B249" s="1175"/>
      <c r="C249" s="1175"/>
      <c r="D249" s="1175"/>
      <c r="E249" s="1175"/>
      <c r="F249" s="606"/>
      <c r="G249" s="336" t="s">
        <v>4278</v>
      </c>
      <c r="H249" s="873"/>
      <c r="I249" s="535"/>
      <c r="J249" s="659"/>
      <c r="M249" s="868"/>
    </row>
    <row r="250" spans="1:13" ht="28.5">
      <c r="A250" s="321"/>
      <c r="B250" s="322"/>
      <c r="C250" s="323" t="s">
        <v>3571</v>
      </c>
      <c r="D250" s="324"/>
      <c r="E250" s="324"/>
      <c r="F250" s="365"/>
      <c r="G250" s="877" t="s">
        <v>4279</v>
      </c>
      <c r="H250" s="1176"/>
      <c r="I250" s="1176"/>
      <c r="J250" s="1176"/>
      <c r="M250" s="868"/>
    </row>
    <row r="251" spans="1:13">
      <c r="A251" s="558"/>
      <c r="B251" s="212"/>
      <c r="C251" s="326" t="s">
        <v>4389</v>
      </c>
      <c r="D251" s="215"/>
      <c r="E251" s="215"/>
      <c r="F251" s="366"/>
      <c r="G251" s="878" t="s">
        <v>4280</v>
      </c>
      <c r="H251" s="1177"/>
      <c r="I251" s="1177"/>
      <c r="J251" s="1177"/>
      <c r="M251" s="868"/>
    </row>
    <row r="252" spans="1:13" ht="15.75" thickBot="1">
      <c r="A252" s="558"/>
      <c r="B252" s="212"/>
      <c r="C252" s="326"/>
      <c r="D252" s="212">
        <v>510</v>
      </c>
      <c r="E252" s="327"/>
      <c r="F252" s="567"/>
      <c r="G252" s="879" t="s">
        <v>173</v>
      </c>
      <c r="H252" s="1178"/>
      <c r="I252" s="1178"/>
      <c r="J252" s="1178"/>
      <c r="M252" s="868"/>
    </row>
    <row r="253" spans="1:13" ht="15.75" thickBot="1">
      <c r="A253" s="558"/>
      <c r="B253" s="212"/>
      <c r="C253" s="329" t="s">
        <v>4389</v>
      </c>
      <c r="D253" s="212">
        <v>510</v>
      </c>
      <c r="E253" s="212">
        <v>99</v>
      </c>
      <c r="F253" s="575">
        <v>424</v>
      </c>
      <c r="G253" s="623" t="s">
        <v>3776</v>
      </c>
      <c r="H253" s="494">
        <v>14530000</v>
      </c>
      <c r="I253" s="1359">
        <v>0</v>
      </c>
      <c r="J253" s="1271">
        <f>SUM(H253:I253)</f>
        <v>14530000</v>
      </c>
      <c r="M253" s="868"/>
    </row>
    <row r="254" spans="1:13" ht="35.25" customHeight="1" thickBot="1">
      <c r="A254" s="558"/>
      <c r="B254" s="212"/>
      <c r="C254" s="329"/>
      <c r="D254" s="212"/>
      <c r="E254" s="212"/>
      <c r="F254" s="1189" t="s">
        <v>4595</v>
      </c>
      <c r="G254" s="1190"/>
      <c r="H254" s="401">
        <f>SUM(H253:H253)</f>
        <v>14530000</v>
      </c>
      <c r="I254" s="401">
        <f>SUM(I253:I253)</f>
        <v>0</v>
      </c>
      <c r="J254" s="401">
        <f>SUM(J253:J253)</f>
        <v>14530000</v>
      </c>
      <c r="M254" s="868"/>
    </row>
    <row r="255" spans="1:13" ht="15.75" thickBot="1">
      <c r="A255" s="212"/>
      <c r="B255" s="212"/>
      <c r="C255" s="326"/>
      <c r="D255" s="215"/>
      <c r="E255" s="212"/>
      <c r="F255" s="212"/>
      <c r="G255" s="222"/>
      <c r="H255" s="278"/>
      <c r="I255" s="279"/>
      <c r="J255" s="279"/>
      <c r="M255" s="868"/>
    </row>
    <row r="256" spans="1:13">
      <c r="A256" s="558"/>
      <c r="B256" s="212"/>
      <c r="C256" s="326" t="s">
        <v>4386</v>
      </c>
      <c r="D256" s="215"/>
      <c r="E256" s="215"/>
      <c r="F256" s="365"/>
      <c r="G256" s="359" t="s">
        <v>174</v>
      </c>
      <c r="H256" s="331"/>
      <c r="I256" s="338"/>
      <c r="J256" s="333"/>
      <c r="M256" s="868"/>
    </row>
    <row r="257" spans="1:13" ht="15.75" thickBot="1">
      <c r="A257" s="558"/>
      <c r="B257" s="212"/>
      <c r="C257" s="326"/>
      <c r="D257" s="212">
        <v>520</v>
      </c>
      <c r="E257" s="327"/>
      <c r="F257" s="341"/>
      <c r="G257" s="363" t="s">
        <v>174</v>
      </c>
      <c r="H257" s="332"/>
      <c r="I257" s="279"/>
      <c r="J257" s="334"/>
      <c r="M257" s="868"/>
    </row>
    <row r="258" spans="1:13">
      <c r="A258" s="673"/>
      <c r="B258" s="212"/>
      <c r="C258" s="329" t="s">
        <v>4386</v>
      </c>
      <c r="D258" s="212">
        <v>520</v>
      </c>
      <c r="E258" s="677">
        <v>100</v>
      </c>
      <c r="F258" s="934">
        <v>4512</v>
      </c>
      <c r="G258" s="935" t="s">
        <v>4573</v>
      </c>
      <c r="H258" s="1302">
        <v>0</v>
      </c>
      <c r="I258" s="1360">
        <v>0</v>
      </c>
      <c r="J258" s="1329">
        <f>H258+I258</f>
        <v>0</v>
      </c>
      <c r="M258" s="868"/>
    </row>
    <row r="259" spans="1:13" ht="15.75" thickBot="1">
      <c r="A259" s="558"/>
      <c r="B259" s="212"/>
      <c r="C259" s="329" t="s">
        <v>4386</v>
      </c>
      <c r="D259" s="212">
        <v>520</v>
      </c>
      <c r="E259" s="378">
        <v>101</v>
      </c>
      <c r="F259" s="676">
        <v>511</v>
      </c>
      <c r="G259" s="687" t="s">
        <v>4038</v>
      </c>
      <c r="H259" s="1332">
        <v>4800000</v>
      </c>
      <c r="I259" s="1333">
        <v>0</v>
      </c>
      <c r="J259" s="578">
        <f>SUM(H259:I259)</f>
        <v>4800000</v>
      </c>
      <c r="M259" s="868"/>
    </row>
    <row r="260" spans="1:13" ht="52.5" customHeight="1" thickBot="1">
      <c r="A260" s="558"/>
      <c r="B260" s="212"/>
      <c r="C260" s="329"/>
      <c r="D260" s="212"/>
      <c r="E260" s="212"/>
      <c r="F260" s="1189" t="s">
        <v>4698</v>
      </c>
      <c r="G260" s="1190"/>
      <c r="H260" s="401">
        <f>SUM(H258:H259)</f>
        <v>4800000</v>
      </c>
      <c r="I260" s="402">
        <f>I258+I259</f>
        <v>0</v>
      </c>
      <c r="J260" s="403">
        <f>J258+J259</f>
        <v>4800000</v>
      </c>
      <c r="M260" s="868"/>
    </row>
    <row r="261" spans="1:13" ht="15.75" thickBot="1">
      <c r="A261" s="558"/>
      <c r="B261" s="212"/>
      <c r="C261" s="329"/>
      <c r="D261" s="212"/>
      <c r="E261" s="212"/>
      <c r="F261" s="212"/>
      <c r="G261" s="371"/>
      <c r="H261" s="278"/>
      <c r="I261" s="279"/>
      <c r="J261" s="306"/>
      <c r="M261" s="868"/>
    </row>
    <row r="262" spans="1:13" ht="57">
      <c r="A262" s="558"/>
      <c r="B262" s="212"/>
      <c r="C262" s="326" t="s">
        <v>4388</v>
      </c>
      <c r="D262" s="215"/>
      <c r="E262" s="215"/>
      <c r="F262" s="850"/>
      <c r="G262" s="576" t="s">
        <v>4458</v>
      </c>
      <c r="H262" s="851"/>
      <c r="I262" s="789"/>
      <c r="J262" s="537"/>
      <c r="M262" s="868"/>
    </row>
    <row r="263" spans="1:13" ht="15.75" thickBot="1">
      <c r="A263" s="558"/>
      <c r="B263" s="212"/>
      <c r="C263" s="326"/>
      <c r="D263" s="212">
        <v>520</v>
      </c>
      <c r="E263" s="327"/>
      <c r="F263" s="567"/>
      <c r="G263" s="587" t="s">
        <v>174</v>
      </c>
      <c r="H263" s="342"/>
      <c r="I263" s="309"/>
      <c r="J263" s="343"/>
      <c r="M263" s="868"/>
    </row>
    <row r="264" spans="1:13" ht="15.75" thickBot="1">
      <c r="A264" s="558"/>
      <c r="B264" s="212"/>
      <c r="C264" s="329" t="s">
        <v>4388</v>
      </c>
      <c r="D264" s="212">
        <v>520</v>
      </c>
      <c r="E264" s="212">
        <v>102</v>
      </c>
      <c r="F264" s="575">
        <v>511</v>
      </c>
      <c r="G264" s="623" t="s">
        <v>4038</v>
      </c>
      <c r="H264" s="609">
        <v>12000000</v>
      </c>
      <c r="I264" s="1289">
        <v>0</v>
      </c>
      <c r="J264" s="1290">
        <f>SUM(H264:I264)</f>
        <v>12000000</v>
      </c>
      <c r="K264" s="1128"/>
      <c r="M264" s="868"/>
    </row>
    <row r="265" spans="1:13" ht="42" customHeight="1" thickBot="1">
      <c r="A265" s="558"/>
      <c r="B265" s="212"/>
      <c r="C265" s="329"/>
      <c r="D265" s="212"/>
      <c r="E265" s="212"/>
      <c r="F265" s="1189" t="s">
        <v>4728</v>
      </c>
      <c r="G265" s="1190"/>
      <c r="H265" s="401">
        <f>H264</f>
        <v>12000000</v>
      </c>
      <c r="I265" s="402">
        <f>I264</f>
        <v>0</v>
      </c>
      <c r="J265" s="403">
        <f>J264</f>
        <v>12000000</v>
      </c>
      <c r="M265" s="868"/>
    </row>
    <row r="266" spans="1:13" ht="15.75" thickBot="1">
      <c r="A266" s="558"/>
      <c r="B266" s="212"/>
      <c r="C266" s="329"/>
      <c r="D266" s="212"/>
      <c r="E266" s="212"/>
      <c r="F266" s="212"/>
      <c r="G266" s="371"/>
      <c r="H266" s="278"/>
      <c r="I266" s="279"/>
      <c r="J266" s="306"/>
      <c r="M266" s="868"/>
    </row>
    <row r="267" spans="1:13" ht="28.5">
      <c r="A267" s="887"/>
      <c r="B267" s="212"/>
      <c r="C267" s="326" t="s">
        <v>4506</v>
      </c>
      <c r="D267" s="215"/>
      <c r="E267" s="215"/>
      <c r="F267" s="850"/>
      <c r="G267" s="576" t="s">
        <v>4659</v>
      </c>
      <c r="H267" s="851"/>
      <c r="I267" s="789"/>
      <c r="J267" s="537"/>
      <c r="M267" s="868"/>
    </row>
    <row r="268" spans="1:13" ht="15.75" thickBot="1">
      <c r="A268" s="887"/>
      <c r="B268" s="212"/>
      <c r="C268" s="326"/>
      <c r="D268" s="212">
        <v>520</v>
      </c>
      <c r="E268" s="327"/>
      <c r="F268" s="567"/>
      <c r="G268" s="587" t="s">
        <v>174</v>
      </c>
      <c r="H268" s="342"/>
      <c r="I268" s="309"/>
      <c r="J268" s="343"/>
      <c r="M268" s="868"/>
    </row>
    <row r="269" spans="1:13" ht="15.75" thickBot="1">
      <c r="A269" s="887"/>
      <c r="B269" s="212"/>
      <c r="C269" s="329" t="s">
        <v>4506</v>
      </c>
      <c r="D269" s="212">
        <v>520</v>
      </c>
      <c r="E269" s="212" t="s">
        <v>4660</v>
      </c>
      <c r="F269" s="575">
        <v>512</v>
      </c>
      <c r="G269" s="623" t="s">
        <v>4039</v>
      </c>
      <c r="H269" s="609">
        <v>4100000</v>
      </c>
      <c r="I269" s="1289">
        <v>22900000</v>
      </c>
      <c r="J269" s="1290">
        <f>SUM(H269:I269)</f>
        <v>27000000</v>
      </c>
      <c r="M269" s="868"/>
    </row>
    <row r="270" spans="1:13" ht="54" customHeight="1" thickBot="1">
      <c r="A270" s="887"/>
      <c r="B270" s="212"/>
      <c r="C270" s="329"/>
      <c r="D270" s="212"/>
      <c r="E270" s="212"/>
      <c r="F270" s="1189" t="s">
        <v>4661</v>
      </c>
      <c r="G270" s="1190"/>
      <c r="H270" s="401">
        <f>H269</f>
        <v>4100000</v>
      </c>
      <c r="I270" s="402">
        <f>I269</f>
        <v>22900000</v>
      </c>
      <c r="J270" s="403">
        <f>J269</f>
        <v>27000000</v>
      </c>
      <c r="M270" s="868"/>
    </row>
    <row r="271" spans="1:13" ht="15.75" thickBot="1">
      <c r="A271" s="887"/>
      <c r="B271" s="212"/>
      <c r="C271" s="329"/>
      <c r="D271" s="212"/>
      <c r="E271" s="212"/>
      <c r="F271" s="212"/>
      <c r="G271" s="371"/>
      <c r="H271" s="278"/>
      <c r="I271" s="279"/>
      <c r="J271" s="306"/>
      <c r="M271" s="868"/>
    </row>
    <row r="272" spans="1:13">
      <c r="A272" s="558"/>
      <c r="B272" s="212"/>
      <c r="C272" s="326" t="s">
        <v>3971</v>
      </c>
      <c r="D272" s="215"/>
      <c r="E272" s="215"/>
      <c r="F272" s="365"/>
      <c r="G272" s="359" t="s">
        <v>4481</v>
      </c>
      <c r="H272" s="331"/>
      <c r="I272" s="338"/>
      <c r="J272" s="333"/>
      <c r="M272" s="868"/>
    </row>
    <row r="273" spans="1:13" ht="30.75" thickBot="1">
      <c r="A273" s="558"/>
      <c r="B273" s="212"/>
      <c r="C273" s="326"/>
      <c r="D273" s="212">
        <v>560</v>
      </c>
      <c r="E273" s="327"/>
      <c r="F273" s="567"/>
      <c r="G273" s="587" t="s">
        <v>178</v>
      </c>
      <c r="H273" s="342"/>
      <c r="I273" s="309"/>
      <c r="J273" s="343"/>
      <c r="M273" s="868"/>
    </row>
    <row r="274" spans="1:13">
      <c r="A274" s="654"/>
      <c r="B274" s="212"/>
      <c r="C274" s="329" t="s">
        <v>3971</v>
      </c>
      <c r="D274" s="212">
        <v>560</v>
      </c>
      <c r="E274" s="662">
        <v>103.104</v>
      </c>
      <c r="F274" s="554">
        <v>421</v>
      </c>
      <c r="G274" s="698" t="s">
        <v>3772</v>
      </c>
      <c r="H274" s="700">
        <v>450000</v>
      </c>
      <c r="I274" s="1267">
        <v>0</v>
      </c>
      <c r="J274" s="1268">
        <f>H274+I274</f>
        <v>450000</v>
      </c>
      <c r="M274" s="868"/>
    </row>
    <row r="275" spans="1:13">
      <c r="A275" s="696"/>
      <c r="B275" s="212"/>
      <c r="C275" s="329" t="s">
        <v>3971</v>
      </c>
      <c r="D275" s="212">
        <v>560</v>
      </c>
      <c r="E275" s="662">
        <v>104</v>
      </c>
      <c r="F275" s="1361">
        <v>424</v>
      </c>
      <c r="G275" s="1362" t="s">
        <v>3776</v>
      </c>
      <c r="H275" s="1363">
        <v>1400000</v>
      </c>
      <c r="I275" s="1364">
        <v>0</v>
      </c>
      <c r="J275" s="1271">
        <f>H275+I275</f>
        <v>1400000</v>
      </c>
      <c r="M275" s="868"/>
    </row>
    <row r="276" spans="1:13" ht="15.75" thickBot="1">
      <c r="A276" s="558"/>
      <c r="B276" s="212"/>
      <c r="C276" s="329" t="s">
        <v>3971</v>
      </c>
      <c r="D276" s="212">
        <v>560</v>
      </c>
      <c r="E276" s="212">
        <v>105</v>
      </c>
      <c r="F276" s="522">
        <v>481</v>
      </c>
      <c r="G276" s="1365" t="s">
        <v>4260</v>
      </c>
      <c r="H276" s="605">
        <v>750000</v>
      </c>
      <c r="I276" s="578">
        <v>0</v>
      </c>
      <c r="J276" s="526">
        <f>SUM(H276:I276)</f>
        <v>750000</v>
      </c>
      <c r="M276" s="868"/>
    </row>
    <row r="277" spans="1:13" ht="30.75" customHeight="1" thickBot="1">
      <c r="A277" s="558"/>
      <c r="B277" s="212"/>
      <c r="C277" s="329"/>
      <c r="D277" s="212"/>
      <c r="E277" s="212"/>
      <c r="F277" s="1189" t="s">
        <v>4594</v>
      </c>
      <c r="G277" s="1190"/>
      <c r="H277" s="401">
        <f>SUM(H274:H276)</f>
        <v>2600000</v>
      </c>
      <c r="I277" s="402">
        <f>SUM(I274:I276)</f>
        <v>0</v>
      </c>
      <c r="J277" s="403">
        <f>SUM(J274:J276)</f>
        <v>2600000</v>
      </c>
      <c r="M277" s="868"/>
    </row>
    <row r="278" spans="1:13" ht="84.75" customHeight="1" thickBot="1">
      <c r="A278" s="307"/>
      <c r="B278" s="312"/>
      <c r="C278" s="330"/>
      <c r="D278" s="312"/>
      <c r="E278" s="312"/>
      <c r="F278" s="1187" t="s">
        <v>4750</v>
      </c>
      <c r="G278" s="1188"/>
      <c r="H278" s="694">
        <f>H254+H265+H260+H277+H270</f>
        <v>38030000</v>
      </c>
      <c r="I278" s="694">
        <f>I254+I265+I260+I277+I270</f>
        <v>22900000</v>
      </c>
      <c r="J278" s="566">
        <f>J254+J265+J260+J277+J270</f>
        <v>60930000</v>
      </c>
      <c r="M278" s="868"/>
    </row>
    <row r="279" spans="1:13" ht="15.75" thickBot="1">
      <c r="A279" s="212"/>
      <c r="B279" s="212"/>
      <c r="C279" s="326"/>
      <c r="D279" s="215"/>
      <c r="E279" s="212"/>
      <c r="F279" s="212"/>
      <c r="G279" s="222"/>
      <c r="H279" s="278"/>
      <c r="I279" s="279"/>
      <c r="J279" s="279"/>
      <c r="M279" s="868"/>
    </row>
    <row r="280" spans="1:13" ht="25.5" customHeight="1">
      <c r="A280" s="321"/>
      <c r="B280" s="322"/>
      <c r="C280" s="323" t="s">
        <v>4340</v>
      </c>
      <c r="D280" s="324"/>
      <c r="E280" s="324"/>
      <c r="F280" s="365"/>
      <c r="G280" s="882" t="s">
        <v>4276</v>
      </c>
      <c r="H280" s="883"/>
      <c r="I280" s="352"/>
      <c r="J280" s="352"/>
      <c r="M280" s="868"/>
    </row>
    <row r="281" spans="1:13" ht="20.25" customHeight="1">
      <c r="A281" s="647"/>
      <c r="B281" s="212"/>
      <c r="C281" s="220" t="s">
        <v>4353</v>
      </c>
      <c r="D281" s="212"/>
      <c r="E281" s="212"/>
      <c r="F281" s="340"/>
      <c r="G281" s="564" t="s">
        <v>4354</v>
      </c>
      <c r="H281" s="355"/>
      <c r="I281" s="334"/>
      <c r="J281" s="334"/>
      <c r="M281" s="868"/>
    </row>
    <row r="282" spans="1:13" ht="15" customHeight="1" thickBot="1">
      <c r="A282" s="647"/>
      <c r="B282" s="212"/>
      <c r="C282" s="371"/>
      <c r="D282" s="427" t="s">
        <v>3929</v>
      </c>
      <c r="E282" s="327"/>
      <c r="F282" s="341"/>
      <c r="G282" s="945" t="s">
        <v>4355</v>
      </c>
      <c r="H282" s="355"/>
      <c r="I282" s="334"/>
      <c r="J282" s="334"/>
      <c r="M282" s="868"/>
    </row>
    <row r="283" spans="1:13" ht="25.5" customHeight="1">
      <c r="A283" s="647"/>
      <c r="B283" s="212"/>
      <c r="C283" s="329" t="s">
        <v>4353</v>
      </c>
      <c r="D283" s="212">
        <v>560</v>
      </c>
      <c r="E283" s="212">
        <v>106</v>
      </c>
      <c r="F283" s="554">
        <v>421</v>
      </c>
      <c r="G283" s="555" t="s">
        <v>3772</v>
      </c>
      <c r="H283" s="500">
        <v>15300000</v>
      </c>
      <c r="I283" s="1267">
        <v>0</v>
      </c>
      <c r="J283" s="1268">
        <f>H283+I283</f>
        <v>15300000</v>
      </c>
      <c r="M283" s="868"/>
    </row>
    <row r="284" spans="1:13" ht="25.5" customHeight="1" thickBot="1">
      <c r="A284" s="886"/>
      <c r="B284" s="212"/>
      <c r="C284" s="329" t="s">
        <v>4353</v>
      </c>
      <c r="D284" s="378">
        <v>560</v>
      </c>
      <c r="E284" s="378" t="s">
        <v>4654</v>
      </c>
      <c r="F284" s="1366">
        <v>425</v>
      </c>
      <c r="G284" s="1367" t="s">
        <v>4033</v>
      </c>
      <c r="H284" s="1368">
        <v>270000</v>
      </c>
      <c r="I284" s="1369">
        <v>0</v>
      </c>
      <c r="J284" s="1370">
        <f>H284+I284</f>
        <v>270000</v>
      </c>
      <c r="M284" s="868"/>
    </row>
    <row r="285" spans="1:13" ht="32.25" customHeight="1" thickBot="1">
      <c r="A285" s="647"/>
      <c r="B285" s="212"/>
      <c r="C285" s="326"/>
      <c r="D285" s="215"/>
      <c r="E285" s="212"/>
      <c r="F285" s="1193" t="s">
        <v>4580</v>
      </c>
      <c r="G285" s="1194"/>
      <c r="H285" s="482">
        <f>H283+H284</f>
        <v>15570000</v>
      </c>
      <c r="I285" s="482">
        <f>I283+I284</f>
        <v>0</v>
      </c>
      <c r="J285" s="482">
        <f>J283+J284</f>
        <v>15570000</v>
      </c>
      <c r="M285" s="868"/>
    </row>
    <row r="286" spans="1:13" ht="8.25" customHeight="1" thickBot="1">
      <c r="A286" s="647"/>
      <c r="B286" s="212"/>
      <c r="C286" s="326"/>
      <c r="D286" s="215"/>
      <c r="E286" s="212"/>
      <c r="F286" s="212"/>
      <c r="G286" s="222"/>
      <c r="H286" s="278"/>
      <c r="I286" s="279"/>
      <c r="J286" s="306"/>
      <c r="M286" s="868"/>
    </row>
    <row r="287" spans="1:13" ht="20.25" customHeight="1">
      <c r="A287" s="647"/>
      <c r="B287" s="212"/>
      <c r="C287" s="220" t="s">
        <v>4356</v>
      </c>
      <c r="D287" s="212"/>
      <c r="E287" s="212"/>
      <c r="F287" s="649"/>
      <c r="G287" s="568" t="s">
        <v>4357</v>
      </c>
      <c r="H287" s="331"/>
      <c r="I287" s="338"/>
      <c r="J287" s="333"/>
      <c r="M287" s="868"/>
    </row>
    <row r="288" spans="1:13" ht="32.25" customHeight="1" thickBot="1">
      <c r="A288" s="647"/>
      <c r="B288" s="212"/>
      <c r="C288" s="371"/>
      <c r="D288" s="427" t="s">
        <v>3929</v>
      </c>
      <c r="E288" s="327"/>
      <c r="F288" s="567"/>
      <c r="G288" s="565" t="s">
        <v>178</v>
      </c>
      <c r="H288" s="342"/>
      <c r="I288" s="309"/>
      <c r="J288" s="343"/>
      <c r="M288" s="868"/>
    </row>
    <row r="289" spans="1:13" ht="18" customHeight="1" thickBot="1">
      <c r="A289" s="712"/>
      <c r="B289" s="212"/>
      <c r="C289" s="329" t="s">
        <v>4356</v>
      </c>
      <c r="D289" s="212">
        <v>560</v>
      </c>
      <c r="E289" s="212">
        <v>107</v>
      </c>
      <c r="F289" s="534">
        <v>421</v>
      </c>
      <c r="G289" s="555" t="s">
        <v>3772</v>
      </c>
      <c r="H289" s="1371">
        <v>27000000</v>
      </c>
      <c r="I289" s="1267">
        <v>0</v>
      </c>
      <c r="J289" s="1290">
        <f>H289+I289</f>
        <v>27000000</v>
      </c>
      <c r="M289" s="868"/>
    </row>
    <row r="290" spans="1:13" ht="19.5" customHeight="1" thickBot="1">
      <c r="A290" s="647"/>
      <c r="B290" s="212"/>
      <c r="C290" s="329" t="s">
        <v>4356</v>
      </c>
      <c r="D290" s="212">
        <v>560</v>
      </c>
      <c r="E290" s="212">
        <v>108</v>
      </c>
      <c r="F290" s="702">
        <v>4512</v>
      </c>
      <c r="G290" s="932" t="s">
        <v>4277</v>
      </c>
      <c r="H290" s="513">
        <v>2450000</v>
      </c>
      <c r="I290" s="1280">
        <v>0</v>
      </c>
      <c r="J290" s="1286">
        <f>H290+I290</f>
        <v>2450000</v>
      </c>
      <c r="M290" s="868"/>
    </row>
    <row r="291" spans="1:13" ht="19.5" customHeight="1" thickBot="1">
      <c r="A291" s="911"/>
      <c r="B291" s="212"/>
      <c r="C291" s="329" t="s">
        <v>4356</v>
      </c>
      <c r="D291" s="212">
        <v>560</v>
      </c>
      <c r="E291" s="212" t="s">
        <v>4669</v>
      </c>
      <c r="F291" s="534">
        <v>621</v>
      </c>
      <c r="G291" s="933" t="s">
        <v>4668</v>
      </c>
      <c r="H291" s="658">
        <v>2100000</v>
      </c>
      <c r="I291" s="536">
        <v>0</v>
      </c>
      <c r="J291" s="659">
        <f>SUM(H291:I291)</f>
        <v>2100000</v>
      </c>
      <c r="M291" s="868"/>
    </row>
    <row r="292" spans="1:13" ht="35.25" customHeight="1" thickBot="1">
      <c r="A292" s="647"/>
      <c r="B292" s="212"/>
      <c r="C292" s="326"/>
      <c r="D292" s="215"/>
      <c r="E292" s="212"/>
      <c r="F292" s="1189" t="s">
        <v>4703</v>
      </c>
      <c r="G292" s="1190"/>
      <c r="H292" s="401">
        <f>H289+H290+H291</f>
        <v>31550000</v>
      </c>
      <c r="I292" s="401">
        <f>I289+I290+I291</f>
        <v>0</v>
      </c>
      <c r="J292" s="401">
        <f>J289+J290+J291</f>
        <v>31550000</v>
      </c>
      <c r="M292" s="868"/>
    </row>
    <row r="293" spans="1:13" ht="13.5" customHeight="1" thickBot="1">
      <c r="A293" s="852"/>
      <c r="B293" s="212"/>
      <c r="C293" s="326"/>
      <c r="D293" s="215"/>
      <c r="E293" s="215"/>
      <c r="F293" s="366"/>
      <c r="G293" s="361"/>
      <c r="H293" s="368"/>
      <c r="I293" s="362"/>
      <c r="J293" s="353"/>
      <c r="M293" s="868"/>
    </row>
    <row r="294" spans="1:13" ht="16.5" customHeight="1">
      <c r="A294" s="647"/>
      <c r="B294" s="212"/>
      <c r="C294" s="220" t="s">
        <v>4341</v>
      </c>
      <c r="D294" s="212"/>
      <c r="E294" s="212"/>
      <c r="F294" s="649"/>
      <c r="G294" s="336" t="s">
        <v>4361</v>
      </c>
      <c r="H294" s="331"/>
      <c r="I294" s="338"/>
      <c r="J294" s="333"/>
      <c r="M294" s="868"/>
    </row>
    <row r="295" spans="1:13" ht="16.5" customHeight="1" thickBot="1">
      <c r="A295" s="647"/>
      <c r="B295" s="212"/>
      <c r="C295" s="371"/>
      <c r="D295" s="427" t="s">
        <v>3934</v>
      </c>
      <c r="E295" s="327"/>
      <c r="F295" s="341"/>
      <c r="G295" s="218" t="s">
        <v>182</v>
      </c>
      <c r="H295" s="332"/>
      <c r="I295" s="279"/>
      <c r="J295" s="334"/>
      <c r="M295" s="868"/>
    </row>
    <row r="296" spans="1:13" ht="16.5" customHeight="1">
      <c r="A296" s="1117"/>
      <c r="B296" s="212"/>
      <c r="C296" s="329" t="s">
        <v>4341</v>
      </c>
      <c r="D296" s="212">
        <v>630</v>
      </c>
      <c r="E296" s="212" t="s">
        <v>4718</v>
      </c>
      <c r="F296" s="706">
        <v>423</v>
      </c>
      <c r="G296" s="988" t="s">
        <v>3774</v>
      </c>
      <c r="H296" s="707">
        <v>600000</v>
      </c>
      <c r="I296" s="1329">
        <v>0</v>
      </c>
      <c r="J296" s="1271">
        <f>SUM(H296:I296)</f>
        <v>600000</v>
      </c>
      <c r="M296" s="868"/>
    </row>
    <row r="297" spans="1:13" ht="15.75" customHeight="1">
      <c r="A297" s="647"/>
      <c r="B297" s="212"/>
      <c r="C297" s="329" t="s">
        <v>4341</v>
      </c>
      <c r="D297" s="212">
        <v>630</v>
      </c>
      <c r="E297" s="212">
        <v>121</v>
      </c>
      <c r="F297" s="1372">
        <v>451</v>
      </c>
      <c r="G297" s="1373" t="s">
        <v>4667</v>
      </c>
      <c r="H297" s="494">
        <v>9000000</v>
      </c>
      <c r="I297" s="1374">
        <v>0</v>
      </c>
      <c r="J297" s="1271">
        <f>SUM(H297:I297)</f>
        <v>9000000</v>
      </c>
      <c r="M297" s="868"/>
    </row>
    <row r="298" spans="1:13" ht="17.25" customHeight="1">
      <c r="A298" s="647"/>
      <c r="B298" s="212"/>
      <c r="C298" s="329" t="s">
        <v>4341</v>
      </c>
      <c r="D298" s="212">
        <v>630</v>
      </c>
      <c r="E298" s="212" t="s">
        <v>4644</v>
      </c>
      <c r="F298" s="1372">
        <v>621</v>
      </c>
      <c r="G298" s="1373" t="s">
        <v>4668</v>
      </c>
      <c r="H298" s="494">
        <v>11600000</v>
      </c>
      <c r="I298" s="1374">
        <v>0</v>
      </c>
      <c r="J298" s="1271">
        <f>SUM(H298:I298)</f>
        <v>11600000</v>
      </c>
      <c r="M298" s="868"/>
    </row>
    <row r="299" spans="1:13" ht="16.5" customHeight="1" thickBot="1">
      <c r="A299" s="692"/>
      <c r="B299" s="212"/>
      <c r="C299" s="329" t="s">
        <v>4341</v>
      </c>
      <c r="D299" s="212">
        <v>630</v>
      </c>
      <c r="E299" s="212">
        <v>122</v>
      </c>
      <c r="F299" s="1375">
        <v>511</v>
      </c>
      <c r="G299" s="1376" t="s">
        <v>4038</v>
      </c>
      <c r="H299" s="1377">
        <v>2000000</v>
      </c>
      <c r="I299" s="1378">
        <v>0</v>
      </c>
      <c r="J299" s="1379">
        <f>SUM(H299:I299)</f>
        <v>2000000</v>
      </c>
      <c r="M299" s="868"/>
    </row>
    <row r="300" spans="1:13" ht="54" customHeight="1" thickBot="1">
      <c r="A300" s="647"/>
      <c r="B300" s="212"/>
      <c r="C300" s="329"/>
      <c r="D300" s="212"/>
      <c r="E300" s="212"/>
      <c r="F300" s="1193" t="s">
        <v>4734</v>
      </c>
      <c r="G300" s="1194"/>
      <c r="H300" s="482">
        <f>SUM(H296:H299)</f>
        <v>23200000</v>
      </c>
      <c r="I300" s="482">
        <f t="shared" ref="I300:J300" si="11">SUM(I296:I299)</f>
        <v>0</v>
      </c>
      <c r="J300" s="482">
        <f t="shared" si="11"/>
        <v>23200000</v>
      </c>
      <c r="M300" s="868"/>
    </row>
    <row r="301" spans="1:13" ht="12" customHeight="1" thickBot="1">
      <c r="A301" s="735"/>
      <c r="B301" s="212"/>
      <c r="C301" s="329"/>
      <c r="D301" s="212"/>
      <c r="E301" s="212"/>
      <c r="F301" s="671"/>
      <c r="G301" s="741"/>
      <c r="H301" s="672"/>
      <c r="I301" s="672"/>
      <c r="J301" s="672"/>
      <c r="M301" s="868"/>
    </row>
    <row r="302" spans="1:13" ht="33" customHeight="1" thickBot="1">
      <c r="A302" s="735"/>
      <c r="B302" s="212"/>
      <c r="C302" s="326" t="s">
        <v>4342</v>
      </c>
      <c r="D302" s="215"/>
      <c r="E302" s="212"/>
      <c r="F302" s="384"/>
      <c r="G302" s="517" t="s">
        <v>4574</v>
      </c>
      <c r="H302" s="788"/>
      <c r="I302" s="537"/>
      <c r="J302" s="601"/>
      <c r="M302" s="868"/>
    </row>
    <row r="303" spans="1:13" ht="18.75" customHeight="1">
      <c r="A303" s="735"/>
      <c r="B303" s="212"/>
      <c r="C303" s="329" t="s">
        <v>4342</v>
      </c>
      <c r="D303" s="212">
        <v>630</v>
      </c>
      <c r="E303" s="212">
        <v>123</v>
      </c>
      <c r="F303" s="554">
        <v>423</v>
      </c>
      <c r="G303" s="555" t="s">
        <v>3774</v>
      </c>
      <c r="H303" s="500">
        <v>100000</v>
      </c>
      <c r="I303" s="1267">
        <v>0</v>
      </c>
      <c r="J303" s="1268">
        <f>H303+I303</f>
        <v>100000</v>
      </c>
      <c r="M303" s="868"/>
    </row>
    <row r="304" spans="1:13" ht="18.75" customHeight="1" thickBot="1">
      <c r="A304" s="735"/>
      <c r="B304" s="212"/>
      <c r="C304" s="329" t="s">
        <v>4342</v>
      </c>
      <c r="D304" s="212">
        <v>630</v>
      </c>
      <c r="E304" s="212">
        <v>124</v>
      </c>
      <c r="F304" s="742">
        <v>511</v>
      </c>
      <c r="G304" s="743" t="s">
        <v>4038</v>
      </c>
      <c r="H304" s="744">
        <v>2500000</v>
      </c>
      <c r="I304" s="1380">
        <v>2000000</v>
      </c>
      <c r="J304" s="1381">
        <f>H304+I304</f>
        <v>4500000</v>
      </c>
      <c r="M304" s="868"/>
    </row>
    <row r="305" spans="1:13" ht="54.75" customHeight="1" thickBot="1">
      <c r="A305" s="735"/>
      <c r="B305" s="212"/>
      <c r="C305" s="329"/>
      <c r="D305" s="212"/>
      <c r="E305" s="212"/>
      <c r="F305" s="1189" t="s">
        <v>4716</v>
      </c>
      <c r="G305" s="1190"/>
      <c r="H305" s="745">
        <f>SUM(H303:H304)</f>
        <v>2600000</v>
      </c>
      <c r="I305" s="490">
        <f>SUM(I304)</f>
        <v>2000000</v>
      </c>
      <c r="J305" s="483">
        <f>SUM(J303:J304)</f>
        <v>4600000</v>
      </c>
      <c r="M305" s="868"/>
    </row>
    <row r="306" spans="1:13" ht="15" customHeight="1" thickBot="1">
      <c r="A306" s="852"/>
      <c r="B306" s="212"/>
      <c r="C306" s="329"/>
      <c r="D306" s="212"/>
      <c r="E306" s="212"/>
      <c r="F306" s="880"/>
      <c r="G306" s="881"/>
      <c r="H306" s="407"/>
      <c r="I306" s="621"/>
      <c r="J306" s="622"/>
      <c r="M306" s="868"/>
    </row>
    <row r="307" spans="1:13">
      <c r="A307" s="647"/>
      <c r="B307" s="212"/>
      <c r="C307" s="326" t="s">
        <v>4352</v>
      </c>
      <c r="D307" s="215"/>
      <c r="E307" s="215"/>
      <c r="F307" s="365"/>
      <c r="G307" s="359" t="s">
        <v>4399</v>
      </c>
      <c r="H307" s="367"/>
      <c r="I307" s="360"/>
      <c r="J307" s="352"/>
      <c r="M307" s="868"/>
    </row>
    <row r="308" spans="1:13" ht="15.75" thickBot="1">
      <c r="A308" s="647"/>
      <c r="B308" s="212"/>
      <c r="C308" s="326"/>
      <c r="D308" s="212">
        <v>640</v>
      </c>
      <c r="E308" s="327"/>
      <c r="F308" s="567"/>
      <c r="G308" s="587" t="s">
        <v>183</v>
      </c>
      <c r="H308" s="342"/>
      <c r="I308" s="309"/>
      <c r="J308" s="343"/>
      <c r="M308" s="868"/>
    </row>
    <row r="309" spans="1:13">
      <c r="A309" s="647"/>
      <c r="B309" s="212"/>
      <c r="C309" s="524" t="s">
        <v>4352</v>
      </c>
      <c r="D309" s="378">
        <v>640</v>
      </c>
      <c r="E309" s="378">
        <v>125</v>
      </c>
      <c r="F309" s="554">
        <v>421</v>
      </c>
      <c r="G309" s="555" t="s">
        <v>3772</v>
      </c>
      <c r="H309" s="500">
        <v>14000000</v>
      </c>
      <c r="I309" s="1267">
        <v>0</v>
      </c>
      <c r="J309" s="1268">
        <f>SUM(H309:I309)</f>
        <v>14000000</v>
      </c>
      <c r="M309" s="868"/>
    </row>
    <row r="310" spans="1:13">
      <c r="A310" s="696"/>
      <c r="B310" s="212"/>
      <c r="C310" s="524" t="s">
        <v>4352</v>
      </c>
      <c r="D310" s="378">
        <v>640</v>
      </c>
      <c r="E310" s="378">
        <v>126</v>
      </c>
      <c r="F310" s="575">
        <v>424</v>
      </c>
      <c r="G310" s="1319" t="s">
        <v>3776</v>
      </c>
      <c r="H310" s="609">
        <v>0</v>
      </c>
      <c r="I310" s="1289">
        <v>0</v>
      </c>
      <c r="J310" s="1290">
        <f>H310+I310</f>
        <v>0</v>
      </c>
      <c r="M310" s="868"/>
    </row>
    <row r="311" spans="1:13">
      <c r="A311" s="647"/>
      <c r="B311" s="212"/>
      <c r="C311" s="524" t="s">
        <v>4352</v>
      </c>
      <c r="D311" s="378">
        <v>640</v>
      </c>
      <c r="E311" s="378">
        <v>127</v>
      </c>
      <c r="F311" s="1346">
        <v>425</v>
      </c>
      <c r="G311" s="1319" t="s">
        <v>4033</v>
      </c>
      <c r="H311" s="494">
        <v>9100000</v>
      </c>
      <c r="I311" s="1348">
        <v>0</v>
      </c>
      <c r="J311" s="1271">
        <f>SUM(H311:I311)</f>
        <v>9100000</v>
      </c>
      <c r="M311" s="868"/>
    </row>
    <row r="312" spans="1:13">
      <c r="A312" s="647"/>
      <c r="B312" s="212"/>
      <c r="C312" s="524" t="s">
        <v>4352</v>
      </c>
      <c r="D312" s="378">
        <v>640</v>
      </c>
      <c r="E312" s="378">
        <v>128</v>
      </c>
      <c r="F312" s="1346">
        <v>426</v>
      </c>
      <c r="G312" s="1319" t="s">
        <v>3780</v>
      </c>
      <c r="H312" s="494">
        <v>1950000</v>
      </c>
      <c r="I312" s="1348">
        <v>0</v>
      </c>
      <c r="J312" s="1271">
        <f>SUM(H312:I312)</f>
        <v>1950000</v>
      </c>
      <c r="M312" s="868"/>
    </row>
    <row r="313" spans="1:13" ht="15.75" thickBot="1">
      <c r="A313" s="647"/>
      <c r="B313" s="212"/>
      <c r="C313" s="524" t="s">
        <v>4352</v>
      </c>
      <c r="D313" s="378">
        <v>640</v>
      </c>
      <c r="E313" s="378">
        <v>129</v>
      </c>
      <c r="F313" s="1349">
        <v>511</v>
      </c>
      <c r="G313" s="1382" t="s">
        <v>4038</v>
      </c>
      <c r="H313" s="1351">
        <v>1300000</v>
      </c>
      <c r="I313" s="1352">
        <v>0</v>
      </c>
      <c r="J313" s="1353">
        <f>SUM(H313:I313)</f>
        <v>1300000</v>
      </c>
      <c r="M313" s="868"/>
    </row>
    <row r="314" spans="1:13" ht="53.25" customHeight="1" thickBot="1">
      <c r="A314" s="647"/>
      <c r="B314" s="212"/>
      <c r="C314" s="329"/>
      <c r="D314" s="212"/>
      <c r="E314" s="212"/>
      <c r="F314" s="1189" t="s">
        <v>4735</v>
      </c>
      <c r="G314" s="1190"/>
      <c r="H314" s="482">
        <f>SUM(H309:H313)</f>
        <v>26350000</v>
      </c>
      <c r="I314" s="489">
        <f>SUM(I311:I313)</f>
        <v>0</v>
      </c>
      <c r="J314" s="490">
        <f>SUM(J309:J313)</f>
        <v>26350000</v>
      </c>
      <c r="M314" s="868"/>
    </row>
    <row r="315" spans="1:13" ht="79.5" customHeight="1" thickBot="1">
      <c r="A315" s="307"/>
      <c r="B315" s="312"/>
      <c r="C315" s="345"/>
      <c r="D315" s="346"/>
      <c r="E315" s="312"/>
      <c r="F315" s="1187" t="s">
        <v>4736</v>
      </c>
      <c r="G315" s="1188"/>
      <c r="H315" s="566">
        <f>H314+H285+H292+H300+H305</f>
        <v>99270000</v>
      </c>
      <c r="I315" s="566">
        <f>I314+I285+I292+I300+I305</f>
        <v>2000000</v>
      </c>
      <c r="J315" s="566">
        <f>J314+J285+J292+J300+J305</f>
        <v>101270000</v>
      </c>
      <c r="K315" s="672"/>
      <c r="M315" s="868"/>
    </row>
    <row r="316" spans="1:13" ht="15.75" thickBot="1">
      <c r="A316" s="378"/>
      <c r="B316" s="378"/>
      <c r="C316" s="524"/>
      <c r="D316" s="378"/>
      <c r="E316" s="378"/>
      <c r="F316" s="406"/>
      <c r="G316" s="406"/>
      <c r="H316" s="407"/>
      <c r="I316" s="407"/>
      <c r="J316" s="584"/>
    </row>
    <row r="317" spans="1:13" ht="23.25" customHeight="1">
      <c r="A317" s="321"/>
      <c r="B317" s="322"/>
      <c r="C317" s="323" t="s">
        <v>3562</v>
      </c>
      <c r="D317" s="322"/>
      <c r="E317" s="322"/>
      <c r="F317" s="375"/>
      <c r="G317" s="369" t="s">
        <v>4469</v>
      </c>
      <c r="H317" s="331"/>
      <c r="I317" s="338"/>
      <c r="J317" s="333"/>
    </row>
    <row r="318" spans="1:13">
      <c r="A318" s="558"/>
      <c r="B318" s="212"/>
      <c r="C318" s="326" t="s">
        <v>4384</v>
      </c>
      <c r="D318" s="212"/>
      <c r="E318" s="212"/>
      <c r="F318" s="376"/>
      <c r="G318" s="220" t="s">
        <v>4385</v>
      </c>
      <c r="H318" s="332"/>
      <c r="I318" s="279"/>
      <c r="J318" s="334"/>
    </row>
    <row r="319" spans="1:13" ht="15.75" thickBot="1">
      <c r="A319" s="558"/>
      <c r="B319" s="212"/>
      <c r="C319" s="326"/>
      <c r="D319" s="427">
        <v>620</v>
      </c>
      <c r="E319" s="327"/>
      <c r="F319" s="377"/>
      <c r="G319" s="370" t="s">
        <v>181</v>
      </c>
      <c r="H319" s="391"/>
      <c r="I319" s="392"/>
      <c r="J319" s="393"/>
    </row>
    <row r="320" spans="1:13">
      <c r="A320" s="558"/>
      <c r="B320" s="212"/>
      <c r="C320" s="329" t="s">
        <v>4384</v>
      </c>
      <c r="D320" s="427">
        <v>620</v>
      </c>
      <c r="E320" s="212">
        <v>109</v>
      </c>
      <c r="F320" s="1383">
        <v>421</v>
      </c>
      <c r="G320" s="555" t="s">
        <v>3772</v>
      </c>
      <c r="H320" s="1384">
        <v>30000</v>
      </c>
      <c r="I320" s="1385">
        <v>0</v>
      </c>
      <c r="J320" s="1386">
        <f t="shared" ref="J320:J325" si="12">SUM(H320:I320)</f>
        <v>30000</v>
      </c>
    </row>
    <row r="321" spans="1:11">
      <c r="A321" s="558"/>
      <c r="B321" s="212"/>
      <c r="C321" s="329" t="s">
        <v>4384</v>
      </c>
      <c r="D321" s="427">
        <v>620</v>
      </c>
      <c r="E321" s="212">
        <v>110</v>
      </c>
      <c r="F321" s="1387">
        <v>422</v>
      </c>
      <c r="G321" s="1388" t="s">
        <v>3773</v>
      </c>
      <c r="H321" s="1389">
        <v>0</v>
      </c>
      <c r="I321" s="1390">
        <v>0</v>
      </c>
      <c r="J321" s="1391">
        <f t="shared" si="12"/>
        <v>0</v>
      </c>
    </row>
    <row r="322" spans="1:11">
      <c r="A322" s="558"/>
      <c r="B322" s="212"/>
      <c r="C322" s="329" t="s">
        <v>4384</v>
      </c>
      <c r="D322" s="427">
        <v>620</v>
      </c>
      <c r="E322" s="212">
        <v>111</v>
      </c>
      <c r="F322" s="1387">
        <v>423</v>
      </c>
      <c r="G322" s="1388" t="s">
        <v>3774</v>
      </c>
      <c r="H322" s="1389">
        <v>800000</v>
      </c>
      <c r="I322" s="1390">
        <v>0</v>
      </c>
      <c r="J322" s="1391">
        <f t="shared" si="12"/>
        <v>800000</v>
      </c>
    </row>
    <row r="323" spans="1:11">
      <c r="A323" s="712"/>
      <c r="B323" s="212"/>
      <c r="C323" s="329" t="s">
        <v>4384</v>
      </c>
      <c r="D323" s="427">
        <v>620</v>
      </c>
      <c r="E323" s="212">
        <v>112</v>
      </c>
      <c r="F323" s="1387">
        <v>424</v>
      </c>
      <c r="G323" s="1392" t="s">
        <v>3776</v>
      </c>
      <c r="H323" s="1393">
        <v>100000</v>
      </c>
      <c r="I323" s="1254">
        <v>0</v>
      </c>
      <c r="J323" s="1394">
        <f>SUM(H323:I323)</f>
        <v>100000</v>
      </c>
    </row>
    <row r="324" spans="1:11">
      <c r="A324" s="558"/>
      <c r="B324" s="212"/>
      <c r="C324" s="329" t="s">
        <v>4384</v>
      </c>
      <c r="D324" s="427">
        <v>620</v>
      </c>
      <c r="E324" s="212">
        <v>113</v>
      </c>
      <c r="F324" s="1387">
        <v>426</v>
      </c>
      <c r="G324" s="1392" t="s">
        <v>3780</v>
      </c>
      <c r="H324" s="1389">
        <v>100000</v>
      </c>
      <c r="I324" s="1390">
        <v>0</v>
      </c>
      <c r="J324" s="1391">
        <f t="shared" si="12"/>
        <v>100000</v>
      </c>
    </row>
    <row r="325" spans="1:11" ht="30">
      <c r="A325" s="669"/>
      <c r="B325" s="212"/>
      <c r="C325" s="329" t="s">
        <v>4384</v>
      </c>
      <c r="D325" s="427">
        <v>620</v>
      </c>
      <c r="E325" s="212">
        <v>114</v>
      </c>
      <c r="F325" s="1387">
        <v>481</v>
      </c>
      <c r="G325" s="1395" t="s">
        <v>4472</v>
      </c>
      <c r="H325" s="1389">
        <v>5300000</v>
      </c>
      <c r="I325" s="1390">
        <v>0</v>
      </c>
      <c r="J325" s="1391">
        <f t="shared" si="12"/>
        <v>5300000</v>
      </c>
    </row>
    <row r="326" spans="1:11">
      <c r="A326" s="712"/>
      <c r="B326" s="212"/>
      <c r="C326" s="329" t="s">
        <v>4384</v>
      </c>
      <c r="D326" s="427">
        <v>620</v>
      </c>
      <c r="E326" s="212">
        <v>115</v>
      </c>
      <c r="F326" s="1387">
        <v>482</v>
      </c>
      <c r="G326" s="1388" t="s">
        <v>4035</v>
      </c>
      <c r="H326" s="1393">
        <v>0</v>
      </c>
      <c r="I326" s="1254">
        <v>0</v>
      </c>
      <c r="J326" s="1394">
        <f>SUM(H326:I326)</f>
        <v>0</v>
      </c>
      <c r="K326" s="1263"/>
    </row>
    <row r="327" spans="1:11" ht="15.75" thickBot="1">
      <c r="A327" s="712"/>
      <c r="B327" s="212"/>
      <c r="C327" s="329" t="s">
        <v>4384</v>
      </c>
      <c r="D327" s="427">
        <v>620</v>
      </c>
      <c r="E327" s="212">
        <v>116</v>
      </c>
      <c r="F327" s="1396">
        <v>511</v>
      </c>
      <c r="G327" s="1397" t="s">
        <v>4038</v>
      </c>
      <c r="H327" s="1398">
        <v>500000</v>
      </c>
      <c r="I327" s="1399">
        <v>0</v>
      </c>
      <c r="J327" s="1280">
        <f>SUM(H327:I327)</f>
        <v>500000</v>
      </c>
    </row>
    <row r="328" spans="1:11" ht="63.75" customHeight="1" thickBot="1">
      <c r="A328" s="558"/>
      <c r="B328" s="212"/>
      <c r="C328" s="329"/>
      <c r="D328" s="212"/>
      <c r="E328" s="212"/>
      <c r="F328" s="1189" t="s">
        <v>4717</v>
      </c>
      <c r="G328" s="1190"/>
      <c r="H328" s="408">
        <f>SUM(H320:H327)</f>
        <v>6830000</v>
      </c>
      <c r="I328" s="408">
        <f>SUM(I320:I327)</f>
        <v>0</v>
      </c>
      <c r="J328" s="408">
        <f>SUM(J320:J327)</f>
        <v>6830000</v>
      </c>
      <c r="K328" s="1264"/>
    </row>
    <row r="329" spans="1:11" ht="15.75" thickBot="1">
      <c r="A329" s="558"/>
      <c r="B329" s="212"/>
      <c r="C329" s="329"/>
      <c r="D329" s="212"/>
      <c r="E329" s="212"/>
      <c r="F329" s="371"/>
      <c r="G329" s="371"/>
      <c r="H329" s="544"/>
      <c r="I329" s="543"/>
      <c r="J329" s="546"/>
    </row>
    <row r="330" spans="1:11">
      <c r="A330" s="558"/>
      <c r="B330" s="212"/>
      <c r="C330" s="326" t="s">
        <v>3969</v>
      </c>
      <c r="D330" s="212"/>
      <c r="E330" s="212"/>
      <c r="F330" s="559"/>
      <c r="G330" s="375" t="s">
        <v>4337</v>
      </c>
      <c r="H330" s="548"/>
      <c r="I330" s="547"/>
      <c r="J330" s="545"/>
    </row>
    <row r="331" spans="1:11" ht="15.75" thickBot="1">
      <c r="A331" s="558"/>
      <c r="B331" s="212"/>
      <c r="C331" s="329"/>
      <c r="D331" s="427">
        <v>620</v>
      </c>
      <c r="E331" s="327"/>
      <c r="F331" s="377"/>
      <c r="G331" s="370" t="s">
        <v>181</v>
      </c>
      <c r="H331" s="1130"/>
      <c r="I331" s="1131"/>
      <c r="J331" s="546"/>
    </row>
    <row r="332" spans="1:11" ht="30">
      <c r="A332" s="1121"/>
      <c r="B332" s="212"/>
      <c r="C332" s="329" t="s">
        <v>3969</v>
      </c>
      <c r="D332" s="212">
        <v>620</v>
      </c>
      <c r="E332" s="212" t="s">
        <v>4729</v>
      </c>
      <c r="F332" s="1383">
        <v>423</v>
      </c>
      <c r="G332" s="1400" t="s">
        <v>4455</v>
      </c>
      <c r="H332" s="1401">
        <v>600000</v>
      </c>
      <c r="I332" s="1267">
        <v>0</v>
      </c>
      <c r="J332" s="1402">
        <f>SUM(H332:I332)</f>
        <v>600000</v>
      </c>
    </row>
    <row r="333" spans="1:11">
      <c r="A333" s="1129"/>
      <c r="B333" s="212"/>
      <c r="C333" s="329" t="s">
        <v>3969</v>
      </c>
      <c r="D333" s="212">
        <v>620</v>
      </c>
      <c r="E333" s="212" t="s">
        <v>4754</v>
      </c>
      <c r="F333" s="1403">
        <v>426</v>
      </c>
      <c r="G333" s="1404" t="s">
        <v>3780</v>
      </c>
      <c r="H333" s="1405">
        <v>500000</v>
      </c>
      <c r="I333" s="1406">
        <v>0</v>
      </c>
      <c r="J333" s="1407">
        <f>SUM(H333:I333)</f>
        <v>500000</v>
      </c>
    </row>
    <row r="334" spans="1:11" ht="30">
      <c r="A334" s="558"/>
      <c r="B334" s="212"/>
      <c r="C334" s="329" t="s">
        <v>3969</v>
      </c>
      <c r="D334" s="212">
        <v>620</v>
      </c>
      <c r="E334" s="212">
        <v>117</v>
      </c>
      <c r="F334" s="1403">
        <v>451</v>
      </c>
      <c r="G334" s="1404" t="s">
        <v>4455</v>
      </c>
      <c r="H334" s="1405">
        <v>2000000</v>
      </c>
      <c r="I334" s="1406">
        <v>1500000</v>
      </c>
      <c r="J334" s="1407">
        <f>SUM(H334:I334)</f>
        <v>3500000</v>
      </c>
    </row>
    <row r="335" spans="1:11">
      <c r="A335" s="558"/>
      <c r="B335" s="212"/>
      <c r="C335" s="329" t="s">
        <v>3969</v>
      </c>
      <c r="D335" s="212">
        <v>620</v>
      </c>
      <c r="E335" s="212">
        <v>118</v>
      </c>
      <c r="F335" s="1403">
        <v>454</v>
      </c>
      <c r="G335" s="1404" t="s">
        <v>4456</v>
      </c>
      <c r="H335" s="1405">
        <v>10000000</v>
      </c>
      <c r="I335" s="1406">
        <v>4500000</v>
      </c>
      <c r="J335" s="1407">
        <f>SUM(H335:I335)</f>
        <v>14500000</v>
      </c>
    </row>
    <row r="336" spans="1:11" ht="33" customHeight="1" thickBot="1">
      <c r="A336" s="673"/>
      <c r="B336" s="212"/>
      <c r="C336" s="329" t="s">
        <v>3969</v>
      </c>
      <c r="D336" s="212">
        <v>620</v>
      </c>
      <c r="E336" s="212">
        <v>119</v>
      </c>
      <c r="F336" s="1408">
        <v>481</v>
      </c>
      <c r="G336" s="1409" t="s">
        <v>4473</v>
      </c>
      <c r="H336" s="1410">
        <v>1500000</v>
      </c>
      <c r="I336" s="1411">
        <v>10000000</v>
      </c>
      <c r="J336" s="1412">
        <f>SUM(H336:I336)</f>
        <v>11500000</v>
      </c>
    </row>
    <row r="337" spans="1:11" ht="78" customHeight="1" thickBot="1">
      <c r="A337" s="558"/>
      <c r="B337" s="212"/>
      <c r="C337" s="329"/>
      <c r="D337" s="212"/>
      <c r="E337" s="212"/>
      <c r="F337" s="1193" t="s">
        <v>4730</v>
      </c>
      <c r="G337" s="1194"/>
      <c r="H337" s="1132">
        <f>SUM(H332:H336)</f>
        <v>14600000</v>
      </c>
      <c r="I337" s="1132">
        <f t="shared" ref="I337:J337" si="13">SUM(I332:I336)</f>
        <v>16000000</v>
      </c>
      <c r="J337" s="1132">
        <f t="shared" si="13"/>
        <v>30600000</v>
      </c>
      <c r="K337" s="1264"/>
    </row>
    <row r="338" spans="1:11" ht="15.75" thickBot="1">
      <c r="A338" s="735"/>
      <c r="B338" s="212"/>
      <c r="C338" s="329"/>
      <c r="D338" s="212"/>
      <c r="E338" s="212"/>
      <c r="F338" s="671"/>
      <c r="G338" s="741"/>
      <c r="H338" s="760"/>
      <c r="I338" s="761"/>
      <c r="J338" s="762"/>
      <c r="K338" s="756"/>
    </row>
    <row r="339" spans="1:11" ht="28.5">
      <c r="A339" s="735"/>
      <c r="B339" s="212"/>
      <c r="C339" s="764" t="s">
        <v>4079</v>
      </c>
      <c r="D339" s="212"/>
      <c r="E339" s="212"/>
      <c r="F339" s="753"/>
      <c r="G339" s="763" t="s">
        <v>4582</v>
      </c>
      <c r="H339" s="757"/>
      <c r="I339" s="573"/>
      <c r="J339" s="758"/>
      <c r="K339" s="756"/>
    </row>
    <row r="340" spans="1:11" ht="15.75" thickBot="1">
      <c r="A340" s="735"/>
      <c r="B340" s="212"/>
      <c r="C340" s="329"/>
      <c r="D340" s="212">
        <v>620</v>
      </c>
      <c r="E340" s="212"/>
      <c r="F340" s="586"/>
      <c r="G340" s="765" t="s">
        <v>181</v>
      </c>
      <c r="H340" s="756"/>
      <c r="I340" s="582"/>
      <c r="J340" s="759"/>
      <c r="K340" s="756"/>
    </row>
    <row r="341" spans="1:11" ht="32.25" customHeight="1" thickBot="1">
      <c r="A341" s="735"/>
      <c r="B341" s="212"/>
      <c r="C341" s="329" t="s">
        <v>4384</v>
      </c>
      <c r="D341" s="427">
        <v>620</v>
      </c>
      <c r="E341" s="212">
        <v>120</v>
      </c>
      <c r="F341" s="1413">
        <v>541</v>
      </c>
      <c r="G341" s="1414" t="s">
        <v>4041</v>
      </c>
      <c r="H341" s="788">
        <v>3650000</v>
      </c>
      <c r="I341" s="536">
        <v>0</v>
      </c>
      <c r="J341" s="601">
        <f>SUM(H341:I341)</f>
        <v>3650000</v>
      </c>
      <c r="K341" s="756"/>
    </row>
    <row r="342" spans="1:11" ht="55.5" customHeight="1" thickBot="1">
      <c r="A342" s="735"/>
      <c r="B342" s="212"/>
      <c r="C342" s="329"/>
      <c r="D342" s="212"/>
      <c r="E342" s="212"/>
      <c r="F342" s="1189" t="s">
        <v>4700</v>
      </c>
      <c r="G342" s="1190"/>
      <c r="H342" s="408">
        <f>H341</f>
        <v>3650000</v>
      </c>
      <c r="I342" s="408">
        <f t="shared" ref="I342:J342" si="14">I341</f>
        <v>0</v>
      </c>
      <c r="J342" s="408">
        <f t="shared" si="14"/>
        <v>3650000</v>
      </c>
      <c r="K342" s="756"/>
    </row>
    <row r="343" spans="1:11" ht="103.5" customHeight="1" thickBot="1">
      <c r="A343" s="307"/>
      <c r="B343" s="312"/>
      <c r="C343" s="330"/>
      <c r="D343" s="312"/>
      <c r="E343" s="312"/>
      <c r="F343" s="1206" t="s">
        <v>4741</v>
      </c>
      <c r="G343" s="1207"/>
      <c r="H343" s="754">
        <f>H328+H337+H342</f>
        <v>25080000</v>
      </c>
      <c r="I343" s="755">
        <f>I328+I337+I342</f>
        <v>16000000</v>
      </c>
      <c r="J343" s="754">
        <f t="shared" ref="J343" si="15">J328+J337+J342</f>
        <v>41080000</v>
      </c>
      <c r="K343" s="672"/>
    </row>
    <row r="344" spans="1:11" ht="15.75" thickBot="1">
      <c r="A344" s="212"/>
      <c r="B344" s="212"/>
      <c r="C344" s="329"/>
      <c r="D344" s="212"/>
      <c r="E344" s="212"/>
      <c r="F344" s="406"/>
      <c r="G344" s="406"/>
      <c r="H344" s="407"/>
      <c r="I344" s="407"/>
      <c r="J344" s="584"/>
    </row>
    <row r="345" spans="1:11">
      <c r="A345" s="321"/>
      <c r="B345" s="322"/>
      <c r="C345" s="323" t="s">
        <v>3589</v>
      </c>
      <c r="D345" s="324"/>
      <c r="E345" s="325"/>
      <c r="F345" s="325"/>
      <c r="G345" s="336" t="s">
        <v>4405</v>
      </c>
      <c r="H345" s="331"/>
      <c r="I345" s="338"/>
      <c r="J345" s="333"/>
    </row>
    <row r="346" spans="1:11" ht="28.5">
      <c r="A346" s="550"/>
      <c r="B346" s="212"/>
      <c r="C346" s="326" t="s">
        <v>3992</v>
      </c>
      <c r="D346" s="215"/>
      <c r="E346" s="551"/>
      <c r="F346" s="551"/>
      <c r="G346" s="222" t="s">
        <v>3988</v>
      </c>
      <c r="H346" s="332"/>
      <c r="I346" s="279"/>
      <c r="J346" s="334"/>
    </row>
    <row r="347" spans="1:11" ht="15.75" thickBot="1">
      <c r="A347" s="550"/>
      <c r="B347" s="212"/>
      <c r="C347" s="326"/>
      <c r="D347" s="212">
        <v>740</v>
      </c>
      <c r="E347" s="551"/>
      <c r="F347" s="551"/>
      <c r="G347" s="218" t="s">
        <v>201</v>
      </c>
      <c r="H347" s="332"/>
      <c r="I347" s="279"/>
      <c r="J347" s="334"/>
    </row>
    <row r="348" spans="1:11">
      <c r="A348" s="550"/>
      <c r="B348" s="212"/>
      <c r="C348" s="329" t="s">
        <v>3992</v>
      </c>
      <c r="D348" s="212">
        <v>740</v>
      </c>
      <c r="E348" s="212">
        <v>130</v>
      </c>
      <c r="F348" s="554">
        <v>464</v>
      </c>
      <c r="G348" s="488" t="s">
        <v>4264</v>
      </c>
      <c r="H348" s="500">
        <v>13600000</v>
      </c>
      <c r="I348" s="1267">
        <v>0</v>
      </c>
      <c r="J348" s="1268">
        <f>SUM(H348:I348)</f>
        <v>13600000</v>
      </c>
    </row>
    <row r="349" spans="1:11" ht="26.25" customHeight="1" thickBot="1">
      <c r="A349" s="550"/>
      <c r="B349" s="212"/>
      <c r="C349" s="329"/>
      <c r="D349" s="212"/>
      <c r="E349" s="212"/>
      <c r="F349" s="1233" t="s">
        <v>4593</v>
      </c>
      <c r="G349" s="1234"/>
      <c r="H349" s="482">
        <f>H348</f>
        <v>13600000</v>
      </c>
      <c r="I349" s="482">
        <f>I348</f>
        <v>0</v>
      </c>
      <c r="J349" s="482">
        <f>J348</f>
        <v>13600000</v>
      </c>
    </row>
    <row r="350" spans="1:11" ht="15.75" thickBot="1">
      <c r="A350" s="550"/>
      <c r="B350" s="212"/>
      <c r="C350" s="329"/>
      <c r="D350" s="212"/>
      <c r="E350" s="212"/>
      <c r="F350" s="212"/>
      <c r="G350" s="521"/>
      <c r="H350" s="278"/>
      <c r="I350" s="279"/>
      <c r="J350" s="306"/>
    </row>
    <row r="351" spans="1:11">
      <c r="A351" s="550"/>
      <c r="B351" s="212"/>
      <c r="C351" s="326" t="s">
        <v>4406</v>
      </c>
      <c r="D351" s="215"/>
      <c r="E351" s="551"/>
      <c r="F351" s="552"/>
      <c r="G351" s="336" t="s">
        <v>4372</v>
      </c>
      <c r="H351" s="331"/>
      <c r="I351" s="338"/>
      <c r="J351" s="333"/>
    </row>
    <row r="352" spans="1:11" ht="15.75" thickBot="1">
      <c r="A352" s="550"/>
      <c r="B352" s="212"/>
      <c r="C352" s="326"/>
      <c r="D352" s="212">
        <v>740</v>
      </c>
      <c r="E352" s="551"/>
      <c r="F352" s="553"/>
      <c r="G352" s="570" t="s">
        <v>201</v>
      </c>
      <c r="H352" s="342"/>
      <c r="I352" s="309"/>
      <c r="J352" s="343"/>
    </row>
    <row r="353" spans="1:10" ht="15.75" thickBot="1">
      <c r="A353" s="550"/>
      <c r="B353" s="212"/>
      <c r="C353" s="329" t="s">
        <v>4406</v>
      </c>
      <c r="D353" s="212">
        <v>740</v>
      </c>
      <c r="E353" s="212">
        <v>131</v>
      </c>
      <c r="F353" s="523">
        <v>424</v>
      </c>
      <c r="G353" s="1415" t="s">
        <v>4331</v>
      </c>
      <c r="H353" s="386">
        <v>400000</v>
      </c>
      <c r="I353" s="539">
        <v>0</v>
      </c>
      <c r="J353" s="388">
        <f>H353+I353</f>
        <v>400000</v>
      </c>
    </row>
    <row r="354" spans="1:10" ht="15.75" thickBot="1">
      <c r="A354" s="550"/>
      <c r="B354" s="212"/>
      <c r="C354" s="326"/>
      <c r="D354" s="215"/>
      <c r="E354" s="551"/>
      <c r="F354" s="1191" t="s">
        <v>4407</v>
      </c>
      <c r="G354" s="1192"/>
      <c r="H354" s="401">
        <f>H353</f>
        <v>400000</v>
      </c>
      <c r="I354" s="401">
        <f>I353</f>
        <v>0</v>
      </c>
      <c r="J354" s="401">
        <f>J353</f>
        <v>400000</v>
      </c>
    </row>
    <row r="355" spans="1:10" ht="42.75" customHeight="1" thickBot="1">
      <c r="A355" s="307"/>
      <c r="B355" s="312"/>
      <c r="C355" s="345"/>
      <c r="D355" s="346"/>
      <c r="E355" s="313"/>
      <c r="F355" s="1197" t="s">
        <v>4646</v>
      </c>
      <c r="G355" s="1198"/>
      <c r="H355" s="395">
        <f>H349+H354</f>
        <v>14000000</v>
      </c>
      <c r="I355" s="395">
        <f>I349+I354</f>
        <v>0</v>
      </c>
      <c r="J355" s="395">
        <f>J349+J354</f>
        <v>14000000</v>
      </c>
    </row>
    <row r="356" spans="1:10" ht="15.75" thickBot="1">
      <c r="A356" s="212"/>
      <c r="B356" s="212"/>
      <c r="C356" s="329"/>
      <c r="D356" s="212"/>
      <c r="E356" s="212"/>
      <c r="F356" s="406"/>
      <c r="G356" s="406"/>
      <c r="H356" s="407"/>
      <c r="I356" s="407"/>
      <c r="J356" s="407"/>
    </row>
    <row r="357" spans="1:10" ht="28.5">
      <c r="A357" s="321"/>
      <c r="B357" s="322"/>
      <c r="C357" s="323" t="s">
        <v>3595</v>
      </c>
      <c r="D357" s="324"/>
      <c r="E357" s="322"/>
      <c r="F357" s="321"/>
      <c r="G357" s="517" t="s">
        <v>4272</v>
      </c>
      <c r="H357" s="337"/>
      <c r="I357" s="333"/>
      <c r="J357" s="339"/>
    </row>
    <row r="358" spans="1:10" ht="28.5">
      <c r="A358" s="305"/>
      <c r="B358" s="212"/>
      <c r="C358" s="326" t="s">
        <v>3993</v>
      </c>
      <c r="D358" s="215"/>
      <c r="E358" s="212"/>
      <c r="F358" s="558"/>
      <c r="G358" s="518" t="s">
        <v>3994</v>
      </c>
      <c r="H358" s="278"/>
      <c r="I358" s="334"/>
      <c r="J358" s="306"/>
    </row>
    <row r="359" spans="1:10" ht="15.75" thickBot="1">
      <c r="A359" s="305"/>
      <c r="B359" s="212"/>
      <c r="C359" s="326"/>
      <c r="D359" s="212">
        <v>810</v>
      </c>
      <c r="E359" s="212"/>
      <c r="F359" s="307"/>
      <c r="G359" s="519" t="s">
        <v>205</v>
      </c>
      <c r="H359" s="308"/>
      <c r="I359" s="343"/>
      <c r="J359" s="310"/>
    </row>
    <row r="360" spans="1:10" ht="15.75" thickBot="1">
      <c r="A360" s="305"/>
      <c r="B360" s="212"/>
      <c r="C360" s="329" t="s">
        <v>3993</v>
      </c>
      <c r="D360" s="212">
        <v>810</v>
      </c>
      <c r="E360" s="660">
        <v>132</v>
      </c>
      <c r="F360" s="534">
        <v>481</v>
      </c>
      <c r="G360" s="492" t="s">
        <v>4260</v>
      </c>
      <c r="H360" s="502">
        <v>22000000</v>
      </c>
      <c r="I360" s="535">
        <v>0</v>
      </c>
      <c r="J360" s="536">
        <f>SUM(H360:I360)</f>
        <v>22000000</v>
      </c>
    </row>
    <row r="361" spans="1:10" ht="33" customHeight="1" thickBot="1">
      <c r="A361" s="305"/>
      <c r="B361" s="212"/>
      <c r="C361" s="326"/>
      <c r="D361" s="215"/>
      <c r="E361" s="311"/>
      <c r="F361" s="1189" t="s">
        <v>4689</v>
      </c>
      <c r="G361" s="1190"/>
      <c r="H361" s="401">
        <f>SUM(H360:H360)</f>
        <v>22000000</v>
      </c>
      <c r="I361" s="403">
        <f>SUM(I360)</f>
        <v>0</v>
      </c>
      <c r="J361" s="403">
        <f>SUM(J360:J360)</f>
        <v>22000000</v>
      </c>
    </row>
    <row r="362" spans="1:10" ht="15.75" thickBot="1">
      <c r="A362" s="887"/>
      <c r="B362" s="212"/>
      <c r="C362" s="326"/>
      <c r="D362" s="215"/>
      <c r="E362" s="212"/>
      <c r="F362" s="586"/>
      <c r="G362" s="406"/>
      <c r="H362" s="946"/>
      <c r="I362" s="947"/>
      <c r="J362" s="622"/>
    </row>
    <row r="363" spans="1:10" ht="29.25" thickBot="1">
      <c r="A363" s="887"/>
      <c r="B363" s="212"/>
      <c r="C363" s="326" t="s">
        <v>4238</v>
      </c>
      <c r="D363" s="677">
        <v>810</v>
      </c>
      <c r="E363" s="212"/>
      <c r="F363" s="384"/>
      <c r="G363" s="517" t="s">
        <v>4658</v>
      </c>
      <c r="H363" s="788"/>
      <c r="I363" s="537"/>
      <c r="J363" s="601"/>
    </row>
    <row r="364" spans="1:10">
      <c r="A364" s="887"/>
      <c r="B364" s="212"/>
      <c r="C364" s="329" t="s">
        <v>4238</v>
      </c>
      <c r="D364" s="212">
        <v>810</v>
      </c>
      <c r="E364" s="212" t="s">
        <v>4656</v>
      </c>
      <c r="F364" s="554">
        <v>423</v>
      </c>
      <c r="G364" s="555" t="s">
        <v>3774</v>
      </c>
      <c r="H364" s="500">
        <v>0</v>
      </c>
      <c r="I364" s="1267">
        <v>0</v>
      </c>
      <c r="J364" s="1268">
        <f>H364+I364</f>
        <v>0</v>
      </c>
    </row>
    <row r="365" spans="1:10" ht="15.75" thickBot="1">
      <c r="A365" s="887"/>
      <c r="B365" s="212"/>
      <c r="C365" s="329" t="s">
        <v>4238</v>
      </c>
      <c r="D365" s="212">
        <v>810</v>
      </c>
      <c r="E365" s="212" t="s">
        <v>4657</v>
      </c>
      <c r="F365" s="742">
        <v>511</v>
      </c>
      <c r="G365" s="743" t="s">
        <v>4038</v>
      </c>
      <c r="H365" s="744">
        <v>0</v>
      </c>
      <c r="I365" s="1380"/>
      <c r="J365" s="1381">
        <f>H365+I365</f>
        <v>0</v>
      </c>
    </row>
    <row r="366" spans="1:10" ht="33.75" customHeight="1" thickBot="1">
      <c r="A366" s="887"/>
      <c r="B366" s="212"/>
      <c r="C366" s="329"/>
      <c r="D366" s="212"/>
      <c r="E366" s="212"/>
      <c r="F366" s="1189" t="s">
        <v>4714</v>
      </c>
      <c r="G366" s="1190"/>
      <c r="H366" s="745">
        <f>SUM(H364:H365)</f>
        <v>0</v>
      </c>
      <c r="I366" s="490">
        <f>SUM(I365)</f>
        <v>0</v>
      </c>
      <c r="J366" s="483">
        <f>SUM(J364:J365)</f>
        <v>0</v>
      </c>
    </row>
    <row r="367" spans="1:10" ht="15.75" thickBot="1">
      <c r="A367" s="523"/>
      <c r="B367" s="378"/>
      <c r="C367" s="404"/>
      <c r="D367" s="405"/>
      <c r="E367" s="378"/>
      <c r="F367" s="538"/>
      <c r="G367" s="222"/>
      <c r="H367" s="602"/>
      <c r="I367" s="539"/>
      <c r="J367" s="388"/>
    </row>
    <row r="368" spans="1:10" ht="29.25" thickBot="1">
      <c r="A368" s="911"/>
      <c r="B368" s="212"/>
      <c r="C368" s="326" t="s">
        <v>4537</v>
      </c>
      <c r="D368" s="677">
        <v>810</v>
      </c>
      <c r="E368" s="212"/>
      <c r="F368" s="384"/>
      <c r="G368" s="517" t="s">
        <v>4670</v>
      </c>
      <c r="H368" s="788"/>
      <c r="I368" s="537"/>
      <c r="J368" s="601"/>
    </row>
    <row r="369" spans="1:10">
      <c r="A369" s="911"/>
      <c r="B369" s="212"/>
      <c r="C369" s="329" t="s">
        <v>4537</v>
      </c>
      <c r="D369" s="212">
        <v>810</v>
      </c>
      <c r="E369" s="212" t="s">
        <v>4671</v>
      </c>
      <c r="F369" s="554">
        <v>423</v>
      </c>
      <c r="G369" s="555" t="s">
        <v>3774</v>
      </c>
      <c r="H369" s="500">
        <v>200000</v>
      </c>
      <c r="I369" s="1267">
        <v>0</v>
      </c>
      <c r="J369" s="1268">
        <f>H369+I369</f>
        <v>200000</v>
      </c>
    </row>
    <row r="370" spans="1:10" ht="15.75" thickBot="1">
      <c r="A370" s="911"/>
      <c r="B370" s="212"/>
      <c r="C370" s="329" t="s">
        <v>4537</v>
      </c>
      <c r="D370" s="212">
        <v>810</v>
      </c>
      <c r="E370" s="212" t="s">
        <v>4672</v>
      </c>
      <c r="F370" s="742">
        <v>511</v>
      </c>
      <c r="G370" s="743" t="s">
        <v>4038</v>
      </c>
      <c r="H370" s="744">
        <v>1600000</v>
      </c>
      <c r="I370" s="1380">
        <v>5100000</v>
      </c>
      <c r="J370" s="1381">
        <f>H370+I370</f>
        <v>6700000</v>
      </c>
    </row>
    <row r="371" spans="1:10" ht="51.75" customHeight="1" thickBot="1">
      <c r="A371" s="911"/>
      <c r="B371" s="212"/>
      <c r="C371" s="329"/>
      <c r="D371" s="212"/>
      <c r="E371" s="212"/>
      <c r="F371" s="1189" t="s">
        <v>4724</v>
      </c>
      <c r="G371" s="1190"/>
      <c r="H371" s="745">
        <f>SUM(H369:H370)</f>
        <v>1800000</v>
      </c>
      <c r="I371" s="490">
        <f>SUM(I370)</f>
        <v>5100000</v>
      </c>
      <c r="J371" s="483">
        <f>SUM(J369:J370)</f>
        <v>6900000</v>
      </c>
    </row>
    <row r="372" spans="1:10" ht="15.75" thickBot="1">
      <c r="A372" s="523"/>
      <c r="B372" s="378"/>
      <c r="C372" s="404"/>
      <c r="D372" s="405"/>
      <c r="E372" s="378"/>
      <c r="F372" s="538"/>
      <c r="G372" s="222"/>
      <c r="H372" s="602"/>
      <c r="I372" s="539"/>
      <c r="J372" s="388"/>
    </row>
    <row r="373" spans="1:10">
      <c r="A373" s="523"/>
      <c r="B373" s="378"/>
      <c r="C373" s="404" t="s">
        <v>4348</v>
      </c>
      <c r="D373" s="405"/>
      <c r="E373" s="378"/>
      <c r="F373" s="581"/>
      <c r="G373" s="336" t="s">
        <v>4377</v>
      </c>
      <c r="H373" s="600"/>
      <c r="I373" s="537"/>
      <c r="J373" s="601"/>
    </row>
    <row r="374" spans="1:10" ht="30.75" thickBot="1">
      <c r="A374" s="523"/>
      <c r="B374" s="378"/>
      <c r="C374" s="524"/>
      <c r="D374" s="378">
        <v>860</v>
      </c>
      <c r="E374" s="378"/>
      <c r="F374" s="676"/>
      <c r="G374" s="570" t="s">
        <v>4378</v>
      </c>
      <c r="H374" s="605"/>
      <c r="I374" s="578"/>
      <c r="J374" s="526"/>
    </row>
    <row r="375" spans="1:10">
      <c r="A375" s="523"/>
      <c r="B375" s="378"/>
      <c r="C375" s="524" t="s">
        <v>4348</v>
      </c>
      <c r="D375" s="378">
        <v>860</v>
      </c>
      <c r="E375" s="378">
        <v>135</v>
      </c>
      <c r="F375" s="554">
        <v>422</v>
      </c>
      <c r="G375" s="488" t="s">
        <v>3773</v>
      </c>
      <c r="H375" s="500">
        <v>50000</v>
      </c>
      <c r="I375" s="1276">
        <v>0</v>
      </c>
      <c r="J375" s="537">
        <f>SUM(H375:I375)</f>
        <v>50000</v>
      </c>
    </row>
    <row r="376" spans="1:10">
      <c r="A376" s="550"/>
      <c r="B376" s="212"/>
      <c r="C376" s="524" t="s">
        <v>4348</v>
      </c>
      <c r="D376" s="378">
        <v>860</v>
      </c>
      <c r="E376" s="212">
        <v>136</v>
      </c>
      <c r="F376" s="575">
        <v>423</v>
      </c>
      <c r="G376" s="678" t="s">
        <v>3774</v>
      </c>
      <c r="H376" s="609">
        <v>550000</v>
      </c>
      <c r="I376" s="1416">
        <v>0</v>
      </c>
      <c r="J376" s="1340">
        <f>SUM(H376:I376)</f>
        <v>550000</v>
      </c>
    </row>
    <row r="377" spans="1:10">
      <c r="A377" s="610"/>
      <c r="B377" s="216"/>
      <c r="C377" s="524" t="s">
        <v>4348</v>
      </c>
      <c r="D377" s="378">
        <v>860</v>
      </c>
      <c r="E377" s="212">
        <v>137</v>
      </c>
      <c r="F377" s="583">
        <v>426</v>
      </c>
      <c r="G377" s="678" t="s">
        <v>3780</v>
      </c>
      <c r="H377" s="494">
        <v>100000</v>
      </c>
      <c r="I377" s="1417">
        <v>0</v>
      </c>
      <c r="J377" s="1340">
        <f>SUM(H377:I377)</f>
        <v>100000</v>
      </c>
    </row>
    <row r="378" spans="1:10" ht="15.75" thickBot="1">
      <c r="A378" s="550"/>
      <c r="B378" s="212"/>
      <c r="C378" s="524" t="s">
        <v>4348</v>
      </c>
      <c r="D378" s="378">
        <v>860</v>
      </c>
      <c r="E378" s="212">
        <v>138</v>
      </c>
      <c r="F378" s="738">
        <v>481</v>
      </c>
      <c r="G378" s="679" t="s">
        <v>4034</v>
      </c>
      <c r="H378" s="739">
        <v>1000000</v>
      </c>
      <c r="I378" s="1418"/>
      <c r="J378" s="1344">
        <f>SUM(H378:I378)</f>
        <v>1000000</v>
      </c>
    </row>
    <row r="379" spans="1:10" ht="36" customHeight="1" thickBot="1">
      <c r="A379" s="550"/>
      <c r="B379" s="212"/>
      <c r="C379" s="326"/>
      <c r="D379" s="215"/>
      <c r="E379" s="212"/>
      <c r="F379" s="1189" t="s">
        <v>4690</v>
      </c>
      <c r="G379" s="1190"/>
      <c r="H379" s="482">
        <f>SUM(H375:H378)</f>
        <v>1700000</v>
      </c>
      <c r="I379" s="489">
        <f>SUM(I375:I378)</f>
        <v>0</v>
      </c>
      <c r="J379" s="490">
        <f>SUM(J375:J378)</f>
        <v>1700000</v>
      </c>
    </row>
    <row r="380" spans="1:10" ht="56.25" customHeight="1" thickBot="1">
      <c r="A380" s="307"/>
      <c r="B380" s="312"/>
      <c r="C380" s="345"/>
      <c r="D380" s="346"/>
      <c r="E380" s="312"/>
      <c r="F380" s="1197" t="s">
        <v>4742</v>
      </c>
      <c r="G380" s="1198"/>
      <c r="H380" s="395">
        <f>H361+H366+H371+H379</f>
        <v>25500000</v>
      </c>
      <c r="I380" s="395">
        <f>I361+I366+I371+I379</f>
        <v>5100000</v>
      </c>
      <c r="J380" s="395">
        <f>J361+J379+J366+J371</f>
        <v>30600000</v>
      </c>
    </row>
    <row r="381" spans="1:10" ht="15.75" thickBot="1">
      <c r="A381" s="212"/>
      <c r="B381" s="212"/>
      <c r="C381" s="329"/>
      <c r="D381" s="212"/>
      <c r="E381" s="212"/>
      <c r="F381" s="406"/>
      <c r="G381" s="406"/>
      <c r="H381" s="407"/>
      <c r="I381" s="407"/>
      <c r="J381" s="407"/>
    </row>
    <row r="382" spans="1:10" ht="28.5">
      <c r="A382" s="384"/>
      <c r="B382" s="606"/>
      <c r="C382" s="607" t="s">
        <v>3592</v>
      </c>
      <c r="D382" s="608"/>
      <c r="E382" s="606"/>
      <c r="F382" s="581"/>
      <c r="G382" s="336" t="s">
        <v>4373</v>
      </c>
      <c r="H382" s="600"/>
      <c r="I382" s="537"/>
      <c r="J382" s="601"/>
    </row>
    <row r="383" spans="1:10" ht="28.5">
      <c r="A383" s="523"/>
      <c r="B383" s="378"/>
      <c r="C383" s="404" t="s">
        <v>4408</v>
      </c>
      <c r="D383" s="405"/>
      <c r="E383" s="378"/>
      <c r="F383" s="538"/>
      <c r="G383" s="222" t="s">
        <v>4374</v>
      </c>
      <c r="H383" s="602"/>
      <c r="I383" s="539"/>
      <c r="J383" s="388"/>
    </row>
    <row r="384" spans="1:10" ht="15.75" thickBot="1">
      <c r="A384" s="523"/>
      <c r="B384" s="378"/>
      <c r="C384" s="524" t="s">
        <v>4408</v>
      </c>
      <c r="D384" s="378">
        <v>820</v>
      </c>
      <c r="E384" s="378"/>
      <c r="F384" s="538"/>
      <c r="G384" s="218" t="s">
        <v>206</v>
      </c>
      <c r="H384" s="602"/>
      <c r="I384" s="539"/>
      <c r="J384" s="388"/>
    </row>
    <row r="385" spans="1:10" ht="15.75" thickBot="1">
      <c r="A385" s="523"/>
      <c r="B385" s="378"/>
      <c r="C385" s="524" t="s">
        <v>4408</v>
      </c>
      <c r="D385" s="378">
        <v>820</v>
      </c>
      <c r="E385" s="378">
        <v>133</v>
      </c>
      <c r="F385" s="534">
        <v>481</v>
      </c>
      <c r="G385" s="657" t="s">
        <v>4034</v>
      </c>
      <c r="H385" s="658">
        <v>3500000</v>
      </c>
      <c r="I385" s="536">
        <v>0</v>
      </c>
      <c r="J385" s="659">
        <f>SUM(H385:I385)</f>
        <v>3500000</v>
      </c>
    </row>
    <row r="386" spans="1:10" ht="54" customHeight="1" thickBot="1">
      <c r="A386" s="550"/>
      <c r="B386" s="212"/>
      <c r="C386" s="326"/>
      <c r="D386" s="215"/>
      <c r="E386" s="212"/>
      <c r="F386" s="1189" t="s">
        <v>4731</v>
      </c>
      <c r="G386" s="1190"/>
      <c r="H386" s="401">
        <f>SUM(H385:H385)</f>
        <v>3500000</v>
      </c>
      <c r="I386" s="401">
        <f>SUM(I385:I385)</f>
        <v>0</v>
      </c>
      <c r="J386" s="401">
        <f>SUM(J385:J385)</f>
        <v>3500000</v>
      </c>
    </row>
    <row r="387" spans="1:10" ht="15.75" thickBot="1">
      <c r="A387" s="550"/>
      <c r="B387" s="212"/>
      <c r="C387" s="326"/>
      <c r="D387" s="215"/>
      <c r="E387" s="212"/>
      <c r="F387" s="212"/>
      <c r="G387" s="222"/>
      <c r="H387" s="278"/>
      <c r="I387" s="279"/>
      <c r="J387" s="306"/>
    </row>
    <row r="388" spans="1:10" ht="28.5">
      <c r="A388" s="550"/>
      <c r="B388" s="378"/>
      <c r="C388" s="404" t="s">
        <v>4375</v>
      </c>
      <c r="D388" s="378"/>
      <c r="E388" s="378"/>
      <c r="F388" s="581"/>
      <c r="G388" s="576" t="s">
        <v>4376</v>
      </c>
      <c r="H388" s="600"/>
      <c r="I388" s="537"/>
      <c r="J388" s="601"/>
    </row>
    <row r="389" spans="1:10" ht="15.75" thickBot="1">
      <c r="A389" s="550"/>
      <c r="B389" s="378"/>
      <c r="C389" s="524"/>
      <c r="D389" s="378">
        <v>830</v>
      </c>
      <c r="E389" s="603"/>
      <c r="F389" s="604"/>
      <c r="G389" s="577" t="s">
        <v>4295</v>
      </c>
      <c r="H389" s="605"/>
      <c r="I389" s="578"/>
      <c r="J389" s="526"/>
    </row>
    <row r="390" spans="1:10">
      <c r="A390" s="550"/>
      <c r="B390" s="378"/>
      <c r="C390" s="524" t="s">
        <v>4375</v>
      </c>
      <c r="D390" s="378">
        <v>830</v>
      </c>
      <c r="E390" s="378">
        <v>134</v>
      </c>
      <c r="F390" s="554">
        <v>423</v>
      </c>
      <c r="G390" s="555" t="s">
        <v>3774</v>
      </c>
      <c r="H390" s="500">
        <v>3000000</v>
      </c>
      <c r="I390" s="1267">
        <v>0</v>
      </c>
      <c r="J390" s="1268">
        <f>SUM(H390:I390)</f>
        <v>3000000</v>
      </c>
    </row>
    <row r="391" spans="1:10" ht="33.75" customHeight="1" thickBot="1">
      <c r="A391" s="550"/>
      <c r="B391" s="212"/>
      <c r="C391" s="329"/>
      <c r="D391" s="212"/>
      <c r="E391" s="212"/>
      <c r="F391" s="1231" t="s">
        <v>4732</v>
      </c>
      <c r="G391" s="1232"/>
      <c r="H391" s="482">
        <f>SUM(H390:H390)</f>
        <v>3000000</v>
      </c>
      <c r="I391" s="483">
        <f>SUM(I390:I390)</f>
        <v>0</v>
      </c>
      <c r="J391" s="483">
        <f>SUM(J390:J390)</f>
        <v>3000000</v>
      </c>
    </row>
    <row r="392" spans="1:10" ht="53.25" customHeight="1" thickBot="1">
      <c r="A392" s="307"/>
      <c r="B392" s="312"/>
      <c r="C392" s="330"/>
      <c r="D392" s="312"/>
      <c r="E392" s="312"/>
      <c r="F392" s="1197" t="s">
        <v>4733</v>
      </c>
      <c r="G392" s="1198"/>
      <c r="H392" s="395">
        <f>H386+H391</f>
        <v>6500000</v>
      </c>
      <c r="I392" s="395">
        <f>I386+I391</f>
        <v>0</v>
      </c>
      <c r="J392" s="395">
        <f>J386+J391</f>
        <v>6500000</v>
      </c>
    </row>
    <row r="393" spans="1:10" ht="15.75" thickBot="1">
      <c r="A393" s="212"/>
      <c r="B393" s="212"/>
      <c r="C393" s="329"/>
      <c r="D393" s="212"/>
      <c r="E393" s="212"/>
      <c r="F393" s="406"/>
      <c r="G393" s="406"/>
      <c r="H393" s="407"/>
      <c r="I393" s="407"/>
      <c r="J393" s="407"/>
    </row>
    <row r="394" spans="1:10">
      <c r="A394" s="321"/>
      <c r="B394" s="322"/>
      <c r="C394" s="323"/>
      <c r="D394" s="324" t="s">
        <v>4362</v>
      </c>
      <c r="E394" s="322"/>
      <c r="F394" s="649"/>
      <c r="G394" s="517" t="s">
        <v>4363</v>
      </c>
      <c r="H394" s="331"/>
      <c r="I394" s="338"/>
      <c r="J394" s="333"/>
    </row>
    <row r="395" spans="1:10" ht="42.75">
      <c r="A395" s="647"/>
      <c r="B395" s="212"/>
      <c r="C395" s="220"/>
      <c r="D395" s="822" t="s">
        <v>4332</v>
      </c>
      <c r="E395" s="378"/>
      <c r="F395" s="538"/>
      <c r="G395" s="518" t="s">
        <v>4366</v>
      </c>
      <c r="H395" s="823"/>
      <c r="I395" s="387"/>
      <c r="J395" s="539"/>
    </row>
    <row r="396" spans="1:10">
      <c r="A396" s="647"/>
      <c r="B396" s="212"/>
      <c r="C396" s="220"/>
      <c r="D396" s="585"/>
      <c r="E396" s="212"/>
      <c r="F396" s="340"/>
      <c r="G396" s="518"/>
      <c r="H396" s="332"/>
      <c r="I396" s="279"/>
      <c r="J396" s="334"/>
    </row>
    <row r="397" spans="1:10" ht="28.5">
      <c r="A397" s="647"/>
      <c r="B397" s="212"/>
      <c r="C397" s="220">
        <v>2001</v>
      </c>
      <c r="D397" s="585"/>
      <c r="E397" s="212"/>
      <c r="F397" s="340"/>
      <c r="G397" s="518" t="s">
        <v>4364</v>
      </c>
      <c r="H397" s="332"/>
      <c r="I397" s="279"/>
      <c r="J397" s="334"/>
    </row>
    <row r="398" spans="1:10" ht="15.75" thickBot="1">
      <c r="A398" s="647"/>
      <c r="B398" s="212"/>
      <c r="C398" s="371"/>
      <c r="D398" s="677">
        <v>911</v>
      </c>
      <c r="E398" s="327"/>
      <c r="F398" s="567"/>
      <c r="G398" s="519" t="s">
        <v>213</v>
      </c>
      <c r="H398" s="332"/>
      <c r="I398" s="279"/>
      <c r="J398" s="334"/>
    </row>
    <row r="399" spans="1:10">
      <c r="A399" s="647"/>
      <c r="B399" s="212"/>
      <c r="C399" s="371" t="s">
        <v>4139</v>
      </c>
      <c r="D399" s="212">
        <v>911</v>
      </c>
      <c r="E399" s="378">
        <v>139</v>
      </c>
      <c r="F399" s="1266">
        <v>423</v>
      </c>
      <c r="G399" s="516" t="s">
        <v>3774</v>
      </c>
      <c r="H399" s="500">
        <v>0</v>
      </c>
      <c r="I399" s="1267">
        <v>0</v>
      </c>
      <c r="J399" s="1268">
        <f>SUM(H399:I399)</f>
        <v>0</v>
      </c>
    </row>
    <row r="400" spans="1:10" ht="15.75" thickBot="1">
      <c r="A400" s="647"/>
      <c r="B400" s="212"/>
      <c r="C400" s="371" t="s">
        <v>4139</v>
      </c>
      <c r="D400" s="212">
        <v>911</v>
      </c>
      <c r="E400" s="378">
        <v>140</v>
      </c>
      <c r="F400" s="1284">
        <v>511</v>
      </c>
      <c r="G400" s="1285" t="s">
        <v>4038</v>
      </c>
      <c r="H400" s="513">
        <v>16400000</v>
      </c>
      <c r="I400" s="1280">
        <v>1700000</v>
      </c>
      <c r="J400" s="1286">
        <f>SUM(H400:I400)</f>
        <v>18100000</v>
      </c>
    </row>
    <row r="401" spans="1:11" ht="24.75" customHeight="1" thickBot="1">
      <c r="A401" s="647"/>
      <c r="B401" s="212"/>
      <c r="C401" s="371"/>
      <c r="D401" s="212"/>
      <c r="E401" s="212"/>
      <c r="F401" s="1191" t="s">
        <v>4365</v>
      </c>
      <c r="G401" s="1192"/>
      <c r="H401" s="401">
        <f>SUM(H399:H400)</f>
        <v>16400000</v>
      </c>
      <c r="I401" s="402">
        <f>SUM(I399:I400)</f>
        <v>1700000</v>
      </c>
      <c r="J401" s="401">
        <f>SUM(J399:J400)</f>
        <v>18100000</v>
      </c>
      <c r="K401" s="672"/>
    </row>
    <row r="402" spans="1:11" ht="48" customHeight="1" thickBot="1">
      <c r="A402" s="307"/>
      <c r="B402" s="312"/>
      <c r="C402" s="373"/>
      <c r="D402" s="312"/>
      <c r="E402" s="312"/>
      <c r="F402" s="1187" t="s">
        <v>4697</v>
      </c>
      <c r="G402" s="1188"/>
      <c r="H402" s="566">
        <f>H401</f>
        <v>16400000</v>
      </c>
      <c r="I402" s="592">
        <f>I401</f>
        <v>1700000</v>
      </c>
      <c r="J402" s="593">
        <f>J401</f>
        <v>18100000</v>
      </c>
      <c r="K402" s="1122"/>
    </row>
    <row r="403" spans="1:11" ht="15.75" thickBot="1">
      <c r="A403" s="550"/>
      <c r="B403" s="212"/>
      <c r="C403" s="329"/>
      <c r="D403" s="212"/>
      <c r="E403" s="212"/>
      <c r="F403" s="406"/>
      <c r="G403" s="406"/>
      <c r="H403" s="407"/>
      <c r="I403" s="407"/>
      <c r="J403" s="407"/>
    </row>
    <row r="404" spans="1:11" ht="28.5">
      <c r="A404" s="321"/>
      <c r="B404" s="322"/>
      <c r="C404" s="323" t="s">
        <v>3580</v>
      </c>
      <c r="D404" s="324"/>
      <c r="E404" s="325"/>
      <c r="F404" s="649"/>
      <c r="G404" s="594" t="s">
        <v>4369</v>
      </c>
      <c r="H404" s="354"/>
      <c r="I404" s="333"/>
      <c r="J404" s="339"/>
    </row>
    <row r="405" spans="1:11">
      <c r="A405" s="647"/>
      <c r="B405" s="212"/>
      <c r="C405" s="326" t="s">
        <v>3981</v>
      </c>
      <c r="D405" s="215"/>
      <c r="E405" s="648"/>
      <c r="F405" s="340"/>
      <c r="G405" s="595" t="s">
        <v>3976</v>
      </c>
      <c r="H405" s="355"/>
      <c r="I405" s="334"/>
      <c r="J405" s="306"/>
    </row>
    <row r="406" spans="1:11" ht="15.75" thickBot="1">
      <c r="A406" s="647"/>
      <c r="B406" s="212"/>
      <c r="C406" s="326"/>
      <c r="D406" s="212">
        <v>912</v>
      </c>
      <c r="E406" s="328"/>
      <c r="F406" s="567"/>
      <c r="G406" s="596" t="s">
        <v>214</v>
      </c>
      <c r="H406" s="355"/>
      <c r="I406" s="334"/>
      <c r="J406" s="306"/>
    </row>
    <row r="407" spans="1:11" ht="79.5" customHeight="1">
      <c r="A407" s="647"/>
      <c r="B407" s="212"/>
      <c r="C407" s="329" t="s">
        <v>3981</v>
      </c>
      <c r="D407" s="212">
        <v>912</v>
      </c>
      <c r="E407" s="212">
        <v>141</v>
      </c>
      <c r="F407" s="1419">
        <v>4631</v>
      </c>
      <c r="G407" s="670" t="s">
        <v>4743</v>
      </c>
      <c r="H407" s="769">
        <v>38500000</v>
      </c>
      <c r="I407" s="1420">
        <v>0</v>
      </c>
      <c r="J407" s="1421">
        <f>SUM(H407:I407)</f>
        <v>38500000</v>
      </c>
    </row>
    <row r="408" spans="1:11" ht="81.75" customHeight="1" thickBot="1">
      <c r="A408" s="523"/>
      <c r="B408" s="378"/>
      <c r="C408" s="524" t="s">
        <v>3981</v>
      </c>
      <c r="D408" s="378">
        <v>912</v>
      </c>
      <c r="E408" s="378">
        <v>142</v>
      </c>
      <c r="F408" s="1422">
        <v>4632</v>
      </c>
      <c r="G408" s="1423" t="s">
        <v>4744</v>
      </c>
      <c r="H408" s="1424">
        <v>6000000</v>
      </c>
      <c r="I408" s="1425">
        <v>0</v>
      </c>
      <c r="J408" s="1426">
        <f>SUM(H408:I408)</f>
        <v>6000000</v>
      </c>
    </row>
    <row r="409" spans="1:11" ht="39" customHeight="1" thickBot="1">
      <c r="A409" s="647"/>
      <c r="B409" s="212"/>
      <c r="C409" s="329"/>
      <c r="D409" s="212"/>
      <c r="E409" s="212"/>
      <c r="F409" s="1189" t="s">
        <v>4639</v>
      </c>
      <c r="G409" s="1190"/>
      <c r="H409" s="643">
        <f>SUM(H407:H408)</f>
        <v>44500000</v>
      </c>
      <c r="I409" s="644">
        <f>SUM(I407:I408)</f>
        <v>0</v>
      </c>
      <c r="J409" s="645">
        <f>SUM(J407:J408)</f>
        <v>44500000</v>
      </c>
      <c r="K409" s="1122"/>
    </row>
    <row r="410" spans="1:11" ht="15.75" thickBot="1">
      <c r="A410" s="647"/>
      <c r="B410" s="212"/>
      <c r="C410" s="329"/>
      <c r="D410" s="212"/>
      <c r="E410" s="212"/>
      <c r="F410" s="340"/>
      <c r="G410" s="521"/>
      <c r="H410" s="332"/>
      <c r="I410" s="279"/>
      <c r="J410" s="334"/>
    </row>
    <row r="411" spans="1:11" ht="43.5" thickBot="1">
      <c r="A411" s="647"/>
      <c r="B411" s="378"/>
      <c r="C411" s="404" t="s">
        <v>4155</v>
      </c>
      <c r="D411" s="378"/>
      <c r="E411" s="378"/>
      <c r="F411" s="534"/>
      <c r="G411" s="348" t="s">
        <v>4329</v>
      </c>
      <c r="H411" s="502"/>
      <c r="I411" s="535"/>
      <c r="J411" s="536"/>
    </row>
    <row r="412" spans="1:11" ht="15.75" thickBot="1">
      <c r="A412" s="647"/>
      <c r="B412" s="378"/>
      <c r="C412" s="524" t="s">
        <v>4155</v>
      </c>
      <c r="D412" s="378">
        <v>912</v>
      </c>
      <c r="E412" s="378">
        <v>143</v>
      </c>
      <c r="F412" s="384">
        <v>423</v>
      </c>
      <c r="G412" s="488" t="s">
        <v>3774</v>
      </c>
      <c r="H412" s="766">
        <v>500000</v>
      </c>
      <c r="I412" s="387">
        <v>0</v>
      </c>
      <c r="J412" s="537">
        <f>H412+I412</f>
        <v>500000</v>
      </c>
    </row>
    <row r="413" spans="1:11" ht="15.75" thickBot="1">
      <c r="A413" s="647"/>
      <c r="B413" s="378"/>
      <c r="C413" s="524" t="s">
        <v>4155</v>
      </c>
      <c r="D413" s="378">
        <v>912</v>
      </c>
      <c r="E413" s="378">
        <v>144</v>
      </c>
      <c r="F413" s="1349">
        <v>511</v>
      </c>
      <c r="G413" s="1427" t="s">
        <v>4038</v>
      </c>
      <c r="H413" s="1428">
        <v>21000000</v>
      </c>
      <c r="I413" s="1399">
        <v>98000000</v>
      </c>
      <c r="J413" s="537">
        <f>H413+I413</f>
        <v>119000000</v>
      </c>
    </row>
    <row r="414" spans="1:11" ht="52.5" customHeight="1" thickBot="1">
      <c r="A414" s="647"/>
      <c r="B414" s="378"/>
      <c r="C414" s="524"/>
      <c r="D414" s="378"/>
      <c r="E414" s="378"/>
      <c r="F414" s="1229" t="s">
        <v>4723</v>
      </c>
      <c r="G414" s="1230"/>
      <c r="H414" s="643">
        <f>SUM(H412:H413)</f>
        <v>21500000</v>
      </c>
      <c r="I414" s="644">
        <f>SUM(I412:I413)</f>
        <v>98000000</v>
      </c>
      <c r="J414" s="645">
        <f>SUM(J412:J413)</f>
        <v>119500000</v>
      </c>
      <c r="K414" s="1122"/>
    </row>
    <row r="415" spans="1:11" ht="57" customHeight="1" thickBot="1">
      <c r="A415" s="307"/>
      <c r="B415" s="312"/>
      <c r="C415" s="345"/>
      <c r="D415" s="346"/>
      <c r="E415" s="313"/>
      <c r="F415" s="1197" t="s">
        <v>4745</v>
      </c>
      <c r="G415" s="1198"/>
      <c r="H415" s="394">
        <f>H409+H414</f>
        <v>66000000</v>
      </c>
      <c r="I415" s="395">
        <f>I409+I414</f>
        <v>98000000</v>
      </c>
      <c r="J415" s="394">
        <f>J409+J414</f>
        <v>164000000</v>
      </c>
      <c r="K415" s="672"/>
    </row>
    <row r="416" spans="1:11" ht="15.75" thickBot="1">
      <c r="A416" s="550"/>
      <c r="C416" s="213"/>
      <c r="D416" s="210"/>
      <c r="G416" s="222"/>
    </row>
    <row r="417" spans="1:25">
      <c r="A417" s="321"/>
      <c r="B417" s="322"/>
      <c r="C417" s="323" t="s">
        <v>3583</v>
      </c>
      <c r="D417" s="324"/>
      <c r="E417" s="325"/>
      <c r="F417" s="649"/>
      <c r="G417" s="336" t="s">
        <v>4271</v>
      </c>
      <c r="H417" s="354"/>
      <c r="I417" s="333"/>
      <c r="J417" s="339"/>
    </row>
    <row r="418" spans="1:25">
      <c r="A418" s="647"/>
      <c r="B418" s="212"/>
      <c r="C418" s="326" t="s">
        <v>4048</v>
      </c>
      <c r="D418" s="215"/>
      <c r="E418" s="648"/>
      <c r="F418" s="340"/>
      <c r="G418" s="222" t="s">
        <v>3977</v>
      </c>
      <c r="H418" s="355"/>
      <c r="I418" s="334"/>
      <c r="J418" s="306"/>
    </row>
    <row r="419" spans="1:25" ht="15.75" thickBot="1">
      <c r="A419" s="647"/>
      <c r="B419" s="212"/>
      <c r="C419" s="326"/>
      <c r="D419" s="212">
        <v>920</v>
      </c>
      <c r="E419" s="328"/>
      <c r="F419" s="341"/>
      <c r="G419" s="218" t="s">
        <v>219</v>
      </c>
      <c r="H419" s="355"/>
      <c r="I419" s="334"/>
      <c r="J419" s="306"/>
    </row>
    <row r="420" spans="1:25" ht="45.75" customHeight="1">
      <c r="A420" s="647"/>
      <c r="B420" s="212"/>
      <c r="C420" s="329" t="s">
        <v>4048</v>
      </c>
      <c r="D420" s="212">
        <v>920</v>
      </c>
      <c r="E420" s="212">
        <v>145</v>
      </c>
      <c r="F420" s="554">
        <v>4631</v>
      </c>
      <c r="G420" s="488" t="s">
        <v>4738</v>
      </c>
      <c r="H420" s="740">
        <v>18000000</v>
      </c>
      <c r="I420" s="1421">
        <v>0</v>
      </c>
      <c r="J420" s="1429">
        <f>SUM(H420:I420)</f>
        <v>18000000</v>
      </c>
    </row>
    <row r="421" spans="1:25" ht="48" customHeight="1" thickBot="1">
      <c r="A421" s="647"/>
      <c r="B421" s="212"/>
      <c r="C421" s="329" t="s">
        <v>4048</v>
      </c>
      <c r="D421" s="212">
        <v>920</v>
      </c>
      <c r="E421" s="212">
        <v>146</v>
      </c>
      <c r="F421" s="1346">
        <v>4632</v>
      </c>
      <c r="G421" s="653" t="s">
        <v>4685</v>
      </c>
      <c r="H421" s="701">
        <v>4500000</v>
      </c>
      <c r="I421" s="1426">
        <v>0</v>
      </c>
      <c r="J421" s="1430">
        <f>SUM(H421:I421)</f>
        <v>4500000</v>
      </c>
    </row>
    <row r="422" spans="1:25" ht="15.75" thickBot="1">
      <c r="A422" s="647"/>
      <c r="B422" s="212"/>
      <c r="C422" s="329"/>
      <c r="D422" s="212"/>
      <c r="E422" s="212"/>
      <c r="F422" s="1191" t="s">
        <v>4269</v>
      </c>
      <c r="G422" s="1192"/>
      <c r="H422" s="401">
        <f>SUM(H420:H421)</f>
        <v>22500000</v>
      </c>
      <c r="I422" s="402">
        <f>SUM(I420:I421)</f>
        <v>0</v>
      </c>
      <c r="J422" s="403">
        <f>SUM(H422:I422)</f>
        <v>22500000</v>
      </c>
      <c r="K422" s="1122"/>
    </row>
    <row r="423" spans="1:25" ht="36.75" customHeight="1" thickBot="1">
      <c r="A423" s="307"/>
      <c r="B423" s="312"/>
      <c r="C423" s="345"/>
      <c r="D423" s="346"/>
      <c r="E423" s="313"/>
      <c r="F423" s="1197" t="s">
        <v>4647</v>
      </c>
      <c r="G423" s="1198"/>
      <c r="H423" s="394">
        <f>H422</f>
        <v>22500000</v>
      </c>
      <c r="I423" s="395">
        <f>I422</f>
        <v>0</v>
      </c>
      <c r="J423" s="396">
        <f>J422</f>
        <v>22500000</v>
      </c>
      <c r="K423" s="875"/>
    </row>
    <row r="424" spans="1:25" ht="117.75" customHeight="1" thickBot="1">
      <c r="A424" s="356"/>
      <c r="B424" s="382"/>
      <c r="C424" s="611"/>
      <c r="D424" s="612"/>
      <c r="E424" s="382"/>
      <c r="F424" s="1185" t="s">
        <v>4752</v>
      </c>
      <c r="G424" s="1186"/>
      <c r="H424" s="613">
        <f>H110+H118+H160+H168+H181+H247+H278+H315+H343+H355+H380+H392+H402+H415+H423</f>
        <v>672040000</v>
      </c>
      <c r="I424" s="613">
        <f>I110+I118+I160+I168+I181+I247+I278+I315+I343+I355+I380+I392+I402+I415+I423</f>
        <v>193200000</v>
      </c>
      <c r="J424" s="613">
        <f>J110+J118+J160+J168+J181+J247+J278+J315+J343+J355+J380+J392+J402+J415+J423</f>
        <v>865240000</v>
      </c>
      <c r="K424" s="1123"/>
    </row>
    <row r="425" spans="1:25" s="528" customFormat="1" ht="17.25" customHeight="1" thickBot="1">
      <c r="A425" s="782"/>
      <c r="B425" s="783"/>
      <c r="C425" s="784"/>
      <c r="D425" s="774"/>
      <c r="E425" s="783"/>
      <c r="F425" s="785"/>
      <c r="G425" s="785"/>
      <c r="H425" s="786"/>
      <c r="I425" s="786"/>
      <c r="J425" s="787"/>
      <c r="K425" s="1124"/>
      <c r="L425" s="527"/>
      <c r="M425" s="646"/>
      <c r="N425" s="646"/>
      <c r="O425" s="527"/>
      <c r="P425" s="527"/>
      <c r="Q425" s="527"/>
      <c r="R425" s="527"/>
      <c r="S425" s="527"/>
      <c r="T425" s="527"/>
      <c r="U425" s="527"/>
      <c r="V425" s="527"/>
      <c r="W425" s="527"/>
      <c r="X425" s="527"/>
      <c r="Y425" s="527"/>
    </row>
    <row r="426" spans="1:25" ht="15.75" thickBot="1">
      <c r="A426" s="314">
        <v>5</v>
      </c>
      <c r="B426" s="314">
        <v>1</v>
      </c>
      <c r="C426" s="798"/>
      <c r="D426" s="316"/>
      <c r="E426" s="316"/>
      <c r="F426" s="316"/>
      <c r="G426" s="335" t="s">
        <v>4267</v>
      </c>
      <c r="H426" s="318"/>
      <c r="I426" s="319"/>
      <c r="J426" s="320"/>
    </row>
    <row r="427" spans="1:25" ht="27" customHeight="1">
      <c r="A427" s="321"/>
      <c r="B427" s="322"/>
      <c r="C427" s="323" t="s">
        <v>3577</v>
      </c>
      <c r="D427" s="324"/>
      <c r="E427" s="325"/>
      <c r="F427" s="325"/>
      <c r="G427" s="222" t="s">
        <v>4379</v>
      </c>
      <c r="H427" s="354"/>
      <c r="I427" s="333"/>
      <c r="J427" s="339"/>
    </row>
    <row r="428" spans="1:25" ht="28.5">
      <c r="A428" s="305"/>
      <c r="B428" s="212"/>
      <c r="C428" s="326" t="s">
        <v>4046</v>
      </c>
      <c r="D428" s="215"/>
      <c r="E428" s="311"/>
      <c r="F428" s="311"/>
      <c r="G428" s="222" t="s">
        <v>4480</v>
      </c>
      <c r="H428" s="355"/>
      <c r="I428" s="334"/>
      <c r="J428" s="306"/>
    </row>
    <row r="429" spans="1:25" ht="15.75" thickBot="1">
      <c r="A429" s="305"/>
      <c r="B429" s="212"/>
      <c r="C429" s="326"/>
      <c r="D429" s="212">
        <v>911</v>
      </c>
      <c r="E429" s="311"/>
      <c r="F429" s="311"/>
      <c r="G429" s="218" t="s">
        <v>4047</v>
      </c>
      <c r="H429" s="355"/>
      <c r="I429" s="334"/>
      <c r="J429" s="306"/>
    </row>
    <row r="430" spans="1:25">
      <c r="A430" s="305"/>
      <c r="B430" s="212"/>
      <c r="C430" s="329" t="s">
        <v>4046</v>
      </c>
      <c r="D430" s="212">
        <v>911</v>
      </c>
      <c r="E430" s="212">
        <v>147</v>
      </c>
      <c r="F430" s="1419">
        <v>411</v>
      </c>
      <c r="G430" s="580" t="s">
        <v>4023</v>
      </c>
      <c r="H430" s="500">
        <v>30500000</v>
      </c>
      <c r="I430" s="1267">
        <v>0</v>
      </c>
      <c r="J430" s="1268">
        <f>SUM(H430:I430)</f>
        <v>30500000</v>
      </c>
    </row>
    <row r="431" spans="1:25">
      <c r="A431" s="305"/>
      <c r="B431" s="212"/>
      <c r="C431" s="329" t="s">
        <v>4046</v>
      </c>
      <c r="D431" s="212">
        <v>911</v>
      </c>
      <c r="E431" s="212">
        <v>148</v>
      </c>
      <c r="F431" s="1431">
        <v>412</v>
      </c>
      <c r="G431" s="656" t="s">
        <v>3759</v>
      </c>
      <c r="H431" s="494">
        <v>5570000</v>
      </c>
      <c r="I431" s="1255">
        <v>0</v>
      </c>
      <c r="J431" s="1271">
        <f>SUM(H431:I431)</f>
        <v>5570000</v>
      </c>
    </row>
    <row r="432" spans="1:25">
      <c r="A432" s="305"/>
      <c r="B432" s="212"/>
      <c r="C432" s="329" t="s">
        <v>4046</v>
      </c>
      <c r="D432" s="212">
        <v>911</v>
      </c>
      <c r="E432" s="212">
        <v>149</v>
      </c>
      <c r="F432" s="1431">
        <v>414</v>
      </c>
      <c r="G432" s="530" t="s">
        <v>3762</v>
      </c>
      <c r="H432" s="494">
        <v>1650000</v>
      </c>
      <c r="I432" s="1255">
        <v>0</v>
      </c>
      <c r="J432" s="1271">
        <f t="shared" ref="J432:J443" si="16">SUM(H432:I432)</f>
        <v>1650000</v>
      </c>
    </row>
    <row r="433" spans="1:11">
      <c r="A433" s="305"/>
      <c r="B433" s="212"/>
      <c r="C433" s="329" t="s">
        <v>4046</v>
      </c>
      <c r="D433" s="212">
        <v>911</v>
      </c>
      <c r="E433" s="212">
        <v>150</v>
      </c>
      <c r="F433" s="1431">
        <v>415</v>
      </c>
      <c r="G433" s="530" t="s">
        <v>4031</v>
      </c>
      <c r="H433" s="494">
        <v>950000</v>
      </c>
      <c r="I433" s="1255">
        <v>0</v>
      </c>
      <c r="J433" s="1271">
        <f t="shared" si="16"/>
        <v>950000</v>
      </c>
    </row>
    <row r="434" spans="1:11">
      <c r="A434" s="305"/>
      <c r="B434" s="212"/>
      <c r="C434" s="329" t="s">
        <v>4046</v>
      </c>
      <c r="D434" s="212">
        <v>911</v>
      </c>
      <c r="E434" s="212">
        <v>151</v>
      </c>
      <c r="F434" s="1431">
        <v>416</v>
      </c>
      <c r="G434" s="530" t="s">
        <v>4032</v>
      </c>
      <c r="H434" s="494">
        <v>250000</v>
      </c>
      <c r="I434" s="1255">
        <v>0</v>
      </c>
      <c r="J434" s="1271">
        <f t="shared" si="16"/>
        <v>250000</v>
      </c>
    </row>
    <row r="435" spans="1:11">
      <c r="A435" s="305"/>
      <c r="B435" s="212"/>
      <c r="C435" s="329" t="s">
        <v>4046</v>
      </c>
      <c r="D435" s="212">
        <v>911</v>
      </c>
      <c r="E435" s="212">
        <v>152</v>
      </c>
      <c r="F435" s="1431">
        <v>421</v>
      </c>
      <c r="G435" s="530" t="s">
        <v>3772</v>
      </c>
      <c r="H435" s="494">
        <v>3400000</v>
      </c>
      <c r="I435" s="1255">
        <v>0</v>
      </c>
      <c r="J435" s="1271">
        <f t="shared" si="16"/>
        <v>3400000</v>
      </c>
    </row>
    <row r="436" spans="1:11">
      <c r="A436" s="305"/>
      <c r="B436" s="212"/>
      <c r="C436" s="329" t="s">
        <v>4046</v>
      </c>
      <c r="D436" s="212">
        <v>911</v>
      </c>
      <c r="E436" s="212">
        <v>153</v>
      </c>
      <c r="F436" s="1431">
        <v>422</v>
      </c>
      <c r="G436" s="530" t="s">
        <v>3773</v>
      </c>
      <c r="H436" s="494">
        <v>580000</v>
      </c>
      <c r="I436" s="1255">
        <v>0</v>
      </c>
      <c r="J436" s="1271">
        <f t="shared" si="16"/>
        <v>580000</v>
      </c>
    </row>
    <row r="437" spans="1:11">
      <c r="A437" s="305"/>
      <c r="B437" s="212"/>
      <c r="C437" s="329" t="s">
        <v>4046</v>
      </c>
      <c r="D437" s="212">
        <v>911</v>
      </c>
      <c r="E437" s="212">
        <v>154</v>
      </c>
      <c r="F437" s="1431">
        <v>423</v>
      </c>
      <c r="G437" s="530" t="s">
        <v>3774</v>
      </c>
      <c r="H437" s="494">
        <v>4350000</v>
      </c>
      <c r="I437" s="1255">
        <v>0</v>
      </c>
      <c r="J437" s="1271">
        <f t="shared" si="16"/>
        <v>4350000</v>
      </c>
    </row>
    <row r="438" spans="1:11">
      <c r="A438" s="305"/>
      <c r="B438" s="212"/>
      <c r="C438" s="329" t="s">
        <v>4046</v>
      </c>
      <c r="D438" s="212">
        <v>911</v>
      </c>
      <c r="E438" s="212">
        <v>155</v>
      </c>
      <c r="F438" s="1431">
        <v>424</v>
      </c>
      <c r="G438" s="530" t="s">
        <v>3776</v>
      </c>
      <c r="H438" s="494">
        <v>350000</v>
      </c>
      <c r="I438" s="1255">
        <v>0</v>
      </c>
      <c r="J438" s="1271">
        <f t="shared" si="16"/>
        <v>350000</v>
      </c>
    </row>
    <row r="439" spans="1:11">
      <c r="A439" s="305"/>
      <c r="B439" s="212"/>
      <c r="C439" s="329" t="s">
        <v>4046</v>
      </c>
      <c r="D439" s="212">
        <v>911</v>
      </c>
      <c r="E439" s="212">
        <v>156</v>
      </c>
      <c r="F439" s="1431">
        <v>425</v>
      </c>
      <c r="G439" s="530" t="s">
        <v>4033</v>
      </c>
      <c r="H439" s="494">
        <v>500000</v>
      </c>
      <c r="I439" s="1255">
        <v>0</v>
      </c>
      <c r="J439" s="1271">
        <f t="shared" si="16"/>
        <v>500000</v>
      </c>
    </row>
    <row r="440" spans="1:11">
      <c r="A440" s="305"/>
      <c r="B440" s="212"/>
      <c r="C440" s="329" t="s">
        <v>4046</v>
      </c>
      <c r="D440" s="212">
        <v>911</v>
      </c>
      <c r="E440" s="212">
        <v>157</v>
      </c>
      <c r="F440" s="1431">
        <v>426</v>
      </c>
      <c r="G440" s="530" t="s">
        <v>3780</v>
      </c>
      <c r="H440" s="494">
        <v>5300000</v>
      </c>
      <c r="I440" s="1255">
        <v>0</v>
      </c>
      <c r="J440" s="1271">
        <f t="shared" si="16"/>
        <v>5300000</v>
      </c>
    </row>
    <row r="441" spans="1:11">
      <c r="A441" s="305"/>
      <c r="B441" s="212"/>
      <c r="C441" s="329" t="s">
        <v>4046</v>
      </c>
      <c r="D441" s="212">
        <v>911</v>
      </c>
      <c r="E441" s="212">
        <v>158</v>
      </c>
      <c r="F441" s="1431">
        <v>465</v>
      </c>
      <c r="G441" s="656" t="s">
        <v>4025</v>
      </c>
      <c r="H441" s="494">
        <v>3200000</v>
      </c>
      <c r="I441" s="1255">
        <v>0</v>
      </c>
      <c r="J441" s="1271">
        <f t="shared" si="16"/>
        <v>3200000</v>
      </c>
    </row>
    <row r="442" spans="1:11">
      <c r="A442" s="854"/>
      <c r="B442" s="212"/>
      <c r="C442" s="329" t="s">
        <v>4046</v>
      </c>
      <c r="D442" s="212">
        <v>911</v>
      </c>
      <c r="E442" s="212">
        <v>159</v>
      </c>
      <c r="F442" s="1431">
        <v>482</v>
      </c>
      <c r="G442" s="656" t="s">
        <v>4035</v>
      </c>
      <c r="H442" s="494">
        <v>50000</v>
      </c>
      <c r="I442" s="1255">
        <v>0</v>
      </c>
      <c r="J442" s="1271">
        <f>SUM(H442:I442)</f>
        <v>50000</v>
      </c>
    </row>
    <row r="443" spans="1:11" ht="15.75" thickBot="1">
      <c r="A443" s="305"/>
      <c r="B443" s="212"/>
      <c r="C443" s="329" t="s">
        <v>4046</v>
      </c>
      <c r="D443" s="212">
        <v>911</v>
      </c>
      <c r="E443" s="212">
        <v>160</v>
      </c>
      <c r="F443" s="1432">
        <v>512</v>
      </c>
      <c r="G443" s="1433" t="s">
        <v>4039</v>
      </c>
      <c r="H443" s="495">
        <v>3100000</v>
      </c>
      <c r="I443" s="1434">
        <v>0</v>
      </c>
      <c r="J443" s="1435">
        <f t="shared" si="16"/>
        <v>3100000</v>
      </c>
    </row>
    <row r="444" spans="1:11" ht="25.5" customHeight="1" thickBot="1">
      <c r="A444" s="212"/>
      <c r="B444" s="212"/>
      <c r="C444" s="326"/>
      <c r="D444" s="215"/>
      <c r="E444" s="212"/>
      <c r="F444" s="1204" t="s">
        <v>4268</v>
      </c>
      <c r="G444" s="1228"/>
      <c r="H444" s="398">
        <f>SUM(H430:H443)</f>
        <v>59750000</v>
      </c>
      <c r="I444" s="399">
        <f>SUM(I430:I443)</f>
        <v>0</v>
      </c>
      <c r="J444" s="400">
        <f>SUM(J430:J443)</f>
        <v>59750000</v>
      </c>
      <c r="K444" s="578"/>
    </row>
    <row r="445" spans="1:11" ht="15.75" thickBot="1">
      <c r="A445" s="212"/>
      <c r="B445" s="212"/>
      <c r="C445" s="326"/>
      <c r="D445" s="215"/>
      <c r="E445" s="212"/>
      <c r="F445" s="1195" t="s">
        <v>4651</v>
      </c>
      <c r="G445" s="1196"/>
      <c r="H445" s="349">
        <f t="shared" ref="H445:J446" si="17">H444</f>
        <v>59750000</v>
      </c>
      <c r="I445" s="349">
        <f t="shared" si="17"/>
        <v>0</v>
      </c>
      <c r="J445" s="349">
        <f t="shared" si="17"/>
        <v>59750000</v>
      </c>
      <c r="K445" s="672"/>
    </row>
    <row r="446" spans="1:11" ht="63" customHeight="1" thickBot="1">
      <c r="A446" s="380"/>
      <c r="B446" s="381"/>
      <c r="C446" s="389"/>
      <c r="D446" s="390"/>
      <c r="E446" s="381"/>
      <c r="F446" s="1185" t="s">
        <v>4746</v>
      </c>
      <c r="G446" s="1186"/>
      <c r="H446" s="616">
        <f t="shared" si="17"/>
        <v>59750000</v>
      </c>
      <c r="I446" s="615">
        <f t="shared" si="17"/>
        <v>0</v>
      </c>
      <c r="J446" s="615">
        <f t="shared" si="17"/>
        <v>59750000</v>
      </c>
      <c r="K446" s="672"/>
    </row>
    <row r="447" spans="1:11" ht="17.25" customHeight="1" thickBot="1">
      <c r="A447" s="356"/>
      <c r="B447" s="382"/>
      <c r="C447" s="611"/>
      <c r="D447" s="612"/>
      <c r="E447" s="382"/>
      <c r="F447" s="382"/>
      <c r="G447" s="357"/>
      <c r="H447" s="358"/>
      <c r="I447" s="350"/>
      <c r="J447" s="351"/>
    </row>
    <row r="448" spans="1:11" ht="15.75" thickBot="1">
      <c r="A448" s="314">
        <v>5</v>
      </c>
      <c r="B448" s="314">
        <v>2</v>
      </c>
      <c r="C448" s="798"/>
      <c r="D448" s="316"/>
      <c r="E448" s="316"/>
      <c r="F448" s="316"/>
      <c r="G448" s="335" t="s">
        <v>4270</v>
      </c>
      <c r="H448" s="318"/>
      <c r="I448" s="319"/>
      <c r="J448" s="320"/>
    </row>
    <row r="449" spans="1:10" ht="27" customHeight="1">
      <c r="A449" s="321"/>
      <c r="B449" s="322"/>
      <c r="C449" s="323" t="s">
        <v>3595</v>
      </c>
      <c r="D449" s="324"/>
      <c r="E449" s="322"/>
      <c r="F449" s="347"/>
      <c r="G449" s="336" t="s">
        <v>4272</v>
      </c>
      <c r="H449" s="331"/>
      <c r="I449" s="339"/>
      <c r="J449" s="339"/>
    </row>
    <row r="450" spans="1:10">
      <c r="A450" s="305"/>
      <c r="B450" s="212"/>
      <c r="C450" s="326" t="s">
        <v>4380</v>
      </c>
      <c r="D450" s="215"/>
      <c r="E450" s="212"/>
      <c r="F450" s="340"/>
      <c r="G450" s="222" t="s">
        <v>4381</v>
      </c>
      <c r="H450" s="332"/>
      <c r="I450" s="306"/>
      <c r="J450" s="306"/>
    </row>
    <row r="451" spans="1:10" ht="15.75" thickBot="1">
      <c r="A451" s="305"/>
      <c r="B451" s="212"/>
      <c r="C451" s="326"/>
      <c r="D451" s="212">
        <v>810</v>
      </c>
      <c r="E451" s="327"/>
      <c r="F451" s="341"/>
      <c r="G451" s="218" t="s">
        <v>205</v>
      </c>
      <c r="H451" s="332"/>
      <c r="I451" s="306"/>
      <c r="J451" s="306"/>
    </row>
    <row r="452" spans="1:10">
      <c r="A452" s="305"/>
      <c r="B452" s="212"/>
      <c r="C452" s="329" t="s">
        <v>4380</v>
      </c>
      <c r="D452" s="212">
        <v>810</v>
      </c>
      <c r="E452" s="212">
        <v>161</v>
      </c>
      <c r="F452" s="554">
        <v>411</v>
      </c>
      <c r="G452" s="555" t="s">
        <v>4023</v>
      </c>
      <c r="H452" s="500">
        <v>6100000</v>
      </c>
      <c r="I452" s="1267">
        <v>2500000</v>
      </c>
      <c r="J452" s="1268">
        <f t="shared" ref="J452:J471" si="18">SUM(H452:I452)</f>
        <v>8600000</v>
      </c>
    </row>
    <row r="453" spans="1:10">
      <c r="A453" s="305"/>
      <c r="B453" s="212"/>
      <c r="C453" s="329" t="s">
        <v>4380</v>
      </c>
      <c r="D453" s="212">
        <v>810</v>
      </c>
      <c r="E453" s="212">
        <v>162</v>
      </c>
      <c r="F453" s="1436">
        <v>412</v>
      </c>
      <c r="G453" s="1437" t="s">
        <v>3759</v>
      </c>
      <c r="H453" s="494">
        <v>1100000</v>
      </c>
      <c r="I453" s="1438">
        <v>400000</v>
      </c>
      <c r="J453" s="1271">
        <f t="shared" si="18"/>
        <v>1500000</v>
      </c>
    </row>
    <row r="454" spans="1:10">
      <c r="A454" s="305"/>
      <c r="B454" s="212"/>
      <c r="C454" s="329" t="s">
        <v>4380</v>
      </c>
      <c r="D454" s="212">
        <v>810</v>
      </c>
      <c r="E454" s="212">
        <v>163</v>
      </c>
      <c r="F454" s="1436">
        <v>413</v>
      </c>
      <c r="G454" s="802" t="s">
        <v>4024</v>
      </c>
      <c r="H454" s="494">
        <v>70000</v>
      </c>
      <c r="I454" s="1438">
        <v>30000</v>
      </c>
      <c r="J454" s="1271">
        <f t="shared" si="18"/>
        <v>100000</v>
      </c>
    </row>
    <row r="455" spans="1:10">
      <c r="A455" s="305"/>
      <c r="B455" s="212"/>
      <c r="C455" s="329" t="s">
        <v>4380</v>
      </c>
      <c r="D455" s="212">
        <v>810</v>
      </c>
      <c r="E455" s="212">
        <v>164</v>
      </c>
      <c r="F455" s="1436">
        <v>414</v>
      </c>
      <c r="G455" s="1439" t="s">
        <v>3762</v>
      </c>
      <c r="H455" s="494">
        <v>890000</v>
      </c>
      <c r="I455" s="1438">
        <v>100000</v>
      </c>
      <c r="J455" s="1271">
        <f t="shared" si="18"/>
        <v>990000</v>
      </c>
    </row>
    <row r="456" spans="1:10">
      <c r="A456" s="305"/>
      <c r="B456" s="212"/>
      <c r="C456" s="329" t="s">
        <v>4380</v>
      </c>
      <c r="D456" s="212">
        <v>810</v>
      </c>
      <c r="E456" s="212">
        <v>165</v>
      </c>
      <c r="F456" s="1436">
        <v>415</v>
      </c>
      <c r="G456" s="1439" t="s">
        <v>4031</v>
      </c>
      <c r="H456" s="494">
        <v>70000</v>
      </c>
      <c r="I456" s="1438">
        <v>0</v>
      </c>
      <c r="J456" s="1271">
        <f t="shared" si="18"/>
        <v>70000</v>
      </c>
    </row>
    <row r="457" spans="1:10">
      <c r="A457" s="305"/>
      <c r="B457" s="212"/>
      <c r="C457" s="329" t="s">
        <v>4380</v>
      </c>
      <c r="D457" s="212">
        <v>810</v>
      </c>
      <c r="E457" s="212">
        <v>166</v>
      </c>
      <c r="F457" s="1436">
        <v>416</v>
      </c>
      <c r="G457" s="1439" t="s">
        <v>4032</v>
      </c>
      <c r="H457" s="494">
        <v>0</v>
      </c>
      <c r="I457" s="1438">
        <v>0</v>
      </c>
      <c r="J457" s="1271">
        <f t="shared" si="18"/>
        <v>0</v>
      </c>
    </row>
    <row r="458" spans="1:10">
      <c r="A458" s="305"/>
      <c r="B458" s="212"/>
      <c r="C458" s="329" t="s">
        <v>4380</v>
      </c>
      <c r="D458" s="212">
        <v>810</v>
      </c>
      <c r="E458" s="212">
        <v>167</v>
      </c>
      <c r="F458" s="1436">
        <v>421</v>
      </c>
      <c r="G458" s="1439" t="s">
        <v>3772</v>
      </c>
      <c r="H458" s="494">
        <v>5640000</v>
      </c>
      <c r="I458" s="1438">
        <v>3000000</v>
      </c>
      <c r="J458" s="1271">
        <f t="shared" si="18"/>
        <v>8640000</v>
      </c>
    </row>
    <row r="459" spans="1:10">
      <c r="A459" s="305"/>
      <c r="B459" s="212"/>
      <c r="C459" s="329" t="s">
        <v>4380</v>
      </c>
      <c r="D459" s="212">
        <v>810</v>
      </c>
      <c r="E459" s="212">
        <v>168</v>
      </c>
      <c r="F459" s="1436">
        <v>422</v>
      </c>
      <c r="G459" s="1439" t="s">
        <v>3773</v>
      </c>
      <c r="H459" s="494">
        <v>50000</v>
      </c>
      <c r="I459" s="1438">
        <v>0</v>
      </c>
      <c r="J459" s="1271">
        <f t="shared" si="18"/>
        <v>50000</v>
      </c>
    </row>
    <row r="460" spans="1:10">
      <c r="A460" s="305"/>
      <c r="B460" s="212"/>
      <c r="C460" s="329" t="s">
        <v>4380</v>
      </c>
      <c r="D460" s="212">
        <v>810</v>
      </c>
      <c r="E460" s="212">
        <v>169</v>
      </c>
      <c r="F460" s="1436">
        <v>423</v>
      </c>
      <c r="G460" s="1439" t="s">
        <v>3774</v>
      </c>
      <c r="H460" s="494">
        <v>3500000</v>
      </c>
      <c r="I460" s="1438">
        <v>970000</v>
      </c>
      <c r="J460" s="1271">
        <f t="shared" si="18"/>
        <v>4470000</v>
      </c>
    </row>
    <row r="461" spans="1:10">
      <c r="A461" s="305"/>
      <c r="B461" s="212"/>
      <c r="C461" s="329" t="s">
        <v>4380</v>
      </c>
      <c r="D461" s="212">
        <v>810</v>
      </c>
      <c r="E461" s="212">
        <v>170</v>
      </c>
      <c r="F461" s="1436">
        <v>424</v>
      </c>
      <c r="G461" s="1439" t="s">
        <v>3776</v>
      </c>
      <c r="H461" s="494">
        <v>2150000</v>
      </c>
      <c r="I461" s="1438">
        <v>600000</v>
      </c>
      <c r="J461" s="1271">
        <f t="shared" si="18"/>
        <v>2750000</v>
      </c>
    </row>
    <row r="462" spans="1:10">
      <c r="A462" s="712"/>
      <c r="B462" s="212"/>
      <c r="C462" s="329" t="s">
        <v>4380</v>
      </c>
      <c r="D462" s="212">
        <v>810</v>
      </c>
      <c r="E462" s="212">
        <v>171</v>
      </c>
      <c r="F462" s="1436">
        <v>425</v>
      </c>
      <c r="G462" s="1439" t="s">
        <v>4033</v>
      </c>
      <c r="H462" s="494">
        <v>1750000</v>
      </c>
      <c r="I462" s="1438">
        <v>500000</v>
      </c>
      <c r="J462" s="1271">
        <f>SUM(H462:I462)</f>
        <v>2250000</v>
      </c>
    </row>
    <row r="463" spans="1:10">
      <c r="A463" s="305"/>
      <c r="B463" s="212"/>
      <c r="C463" s="329" t="s">
        <v>4380</v>
      </c>
      <c r="D463" s="212">
        <v>810</v>
      </c>
      <c r="E463" s="212">
        <v>172</v>
      </c>
      <c r="F463" s="1436">
        <v>426</v>
      </c>
      <c r="G463" s="1439" t="s">
        <v>3780</v>
      </c>
      <c r="H463" s="494">
        <v>1050000</v>
      </c>
      <c r="I463" s="1438">
        <v>1300000</v>
      </c>
      <c r="J463" s="1271">
        <f t="shared" si="18"/>
        <v>2350000</v>
      </c>
    </row>
    <row r="464" spans="1:10">
      <c r="A464" s="854"/>
      <c r="B464" s="212"/>
      <c r="C464" s="329" t="s">
        <v>4380</v>
      </c>
      <c r="D464" s="212">
        <v>810</v>
      </c>
      <c r="E464" s="212">
        <v>173</v>
      </c>
      <c r="F464" s="1436">
        <v>465</v>
      </c>
      <c r="G464" s="1437" t="s">
        <v>4025</v>
      </c>
      <c r="H464" s="494">
        <v>1050000</v>
      </c>
      <c r="I464" s="1438">
        <v>250000</v>
      </c>
      <c r="J464" s="1271">
        <f t="shared" ref="J464:J469" si="19">SUM(H464:I464)</f>
        <v>1300000</v>
      </c>
    </row>
    <row r="465" spans="1:11">
      <c r="A465" s="674"/>
      <c r="B465" s="212"/>
      <c r="C465" s="329" t="s">
        <v>4380</v>
      </c>
      <c r="D465" s="212">
        <v>810</v>
      </c>
      <c r="E465" s="212">
        <v>174</v>
      </c>
      <c r="F465" s="1436">
        <v>482</v>
      </c>
      <c r="G465" s="1439" t="s">
        <v>4035</v>
      </c>
      <c r="H465" s="494">
        <v>50000</v>
      </c>
      <c r="I465" s="1438">
        <v>250000</v>
      </c>
      <c r="J465" s="1271">
        <f t="shared" si="19"/>
        <v>300000</v>
      </c>
    </row>
    <row r="466" spans="1:11">
      <c r="A466" s="674"/>
      <c r="B466" s="212"/>
      <c r="C466" s="329" t="s">
        <v>4380</v>
      </c>
      <c r="D466" s="212">
        <v>810</v>
      </c>
      <c r="E466" s="212">
        <v>175</v>
      </c>
      <c r="F466" s="1436">
        <v>483</v>
      </c>
      <c r="G466" s="1439" t="s">
        <v>4036</v>
      </c>
      <c r="H466" s="494">
        <v>50000</v>
      </c>
      <c r="I466" s="1438">
        <v>100000</v>
      </c>
      <c r="J466" s="1271">
        <f t="shared" si="19"/>
        <v>150000</v>
      </c>
    </row>
    <row r="467" spans="1:11">
      <c r="A467" s="886"/>
      <c r="B467" s="212"/>
      <c r="C467" s="329" t="s">
        <v>4380</v>
      </c>
      <c r="D467" s="212">
        <v>810</v>
      </c>
      <c r="E467" s="212" t="s">
        <v>4653</v>
      </c>
      <c r="F467" s="1440">
        <v>485</v>
      </c>
      <c r="G467" s="1441" t="s">
        <v>4325</v>
      </c>
      <c r="H467" s="494">
        <v>190000</v>
      </c>
      <c r="I467" s="1442">
        <v>0</v>
      </c>
      <c r="J467" s="1271">
        <f t="shared" si="19"/>
        <v>190000</v>
      </c>
    </row>
    <row r="468" spans="1:11">
      <c r="A468" s="712"/>
      <c r="B468" s="212"/>
      <c r="C468" s="329" t="s">
        <v>4380</v>
      </c>
      <c r="D468" s="212">
        <v>810</v>
      </c>
      <c r="E468" s="212">
        <v>176</v>
      </c>
      <c r="F468" s="1436">
        <v>511</v>
      </c>
      <c r="G468" s="802" t="s">
        <v>4273</v>
      </c>
      <c r="H468" s="494">
        <v>7500000</v>
      </c>
      <c r="I468" s="1438">
        <v>0</v>
      </c>
      <c r="J468" s="1271">
        <f t="shared" si="19"/>
        <v>7500000</v>
      </c>
    </row>
    <row r="469" spans="1:11">
      <c r="A469" s="712"/>
      <c r="B469" s="212"/>
      <c r="C469" s="329" t="s">
        <v>4380</v>
      </c>
      <c r="D469" s="212">
        <v>810</v>
      </c>
      <c r="E469" s="212">
        <v>177</v>
      </c>
      <c r="F469" s="1436">
        <v>512</v>
      </c>
      <c r="G469" s="1439" t="s">
        <v>4039</v>
      </c>
      <c r="H469" s="494">
        <v>750000</v>
      </c>
      <c r="I469" s="1438">
        <v>500000</v>
      </c>
      <c r="J469" s="1271">
        <f t="shared" si="19"/>
        <v>1250000</v>
      </c>
    </row>
    <row r="470" spans="1:11">
      <c r="A470" s="305"/>
      <c r="B470" s="212"/>
      <c r="C470" s="329" t="s">
        <v>4380</v>
      </c>
      <c r="D470" s="212">
        <v>810</v>
      </c>
      <c r="E470" s="212"/>
      <c r="F470" s="575">
        <v>522</v>
      </c>
      <c r="G470" s="516" t="s">
        <v>4463</v>
      </c>
      <c r="H470" s="609">
        <v>0</v>
      </c>
      <c r="I470" s="1289">
        <v>7000000</v>
      </c>
      <c r="J470" s="1290">
        <f t="shared" si="18"/>
        <v>7000000</v>
      </c>
    </row>
    <row r="471" spans="1:11" ht="15.75" thickBot="1">
      <c r="A471" s="305"/>
      <c r="B471" s="212"/>
      <c r="C471" s="329" t="s">
        <v>4380</v>
      </c>
      <c r="D471" s="212">
        <v>810</v>
      </c>
      <c r="E471" s="212"/>
      <c r="F471" s="1443">
        <v>523</v>
      </c>
      <c r="G471" s="1444" t="s">
        <v>3832</v>
      </c>
      <c r="H471" s="1445">
        <v>0</v>
      </c>
      <c r="I471" s="1446">
        <v>8000000</v>
      </c>
      <c r="J471" s="1447">
        <f t="shared" si="18"/>
        <v>8000000</v>
      </c>
    </row>
    <row r="472" spans="1:11" ht="15.75" thickBot="1">
      <c r="A472" s="305"/>
      <c r="B472" s="212"/>
      <c r="C472" s="326"/>
      <c r="D472" s="215"/>
      <c r="E472" s="212"/>
      <c r="F472" s="1204" t="s">
        <v>4409</v>
      </c>
      <c r="G472" s="1205"/>
      <c r="H472" s="482">
        <f>SUM(H452:H471)</f>
        <v>31960000</v>
      </c>
      <c r="I472" s="490">
        <f>SUM(I452:I471)</f>
        <v>25500000</v>
      </c>
      <c r="J472" s="490">
        <f>SUM(J452:J471)</f>
        <v>57460000</v>
      </c>
      <c r="K472" s="1126"/>
    </row>
    <row r="473" spans="1:11" ht="21.75" customHeight="1" thickBot="1">
      <c r="A473" s="305"/>
      <c r="B473" s="212"/>
      <c r="C473" s="326"/>
      <c r="D473" s="215"/>
      <c r="E473" s="212"/>
      <c r="F473" s="1195" t="s">
        <v>4650</v>
      </c>
      <c r="G473" s="1196"/>
      <c r="H473" s="349">
        <f t="shared" ref="H473:J474" si="20">H472</f>
        <v>31960000</v>
      </c>
      <c r="I473" s="349">
        <f t="shared" si="20"/>
        <v>25500000</v>
      </c>
      <c r="J473" s="349">
        <f t="shared" si="20"/>
        <v>57460000</v>
      </c>
      <c r="K473" s="672"/>
    </row>
    <row r="474" spans="1:11" ht="66" customHeight="1" thickBot="1">
      <c r="A474" s="307"/>
      <c r="B474" s="312"/>
      <c r="C474" s="345"/>
      <c r="D474" s="346"/>
      <c r="E474" s="312"/>
      <c r="F474" s="1185" t="s">
        <v>4748</v>
      </c>
      <c r="G474" s="1186"/>
      <c r="H474" s="616">
        <f t="shared" si="20"/>
        <v>31960000</v>
      </c>
      <c r="I474" s="615">
        <f t="shared" si="20"/>
        <v>25500000</v>
      </c>
      <c r="J474" s="615">
        <f t="shared" si="20"/>
        <v>57460000</v>
      </c>
      <c r="K474" s="672"/>
    </row>
    <row r="475" spans="1:11" ht="15.75" thickBot="1">
      <c r="C475" s="213"/>
      <c r="D475" s="210"/>
      <c r="G475" s="222"/>
    </row>
    <row r="476" spans="1:11" ht="29.25" thickBot="1">
      <c r="A476" s="314">
        <v>5</v>
      </c>
      <c r="B476" s="314">
        <v>3</v>
      </c>
      <c r="C476" s="798"/>
      <c r="D476" s="316"/>
      <c r="E476" s="316"/>
      <c r="F476" s="316"/>
      <c r="G476" s="335" t="s">
        <v>4274</v>
      </c>
      <c r="H476" s="318"/>
      <c r="I476" s="319"/>
      <c r="J476" s="320"/>
    </row>
    <row r="477" spans="1:11" ht="35.25" customHeight="1">
      <c r="A477" s="321"/>
      <c r="B477" s="322"/>
      <c r="C477" s="323" t="s">
        <v>3592</v>
      </c>
      <c r="D477" s="324"/>
      <c r="E477" s="322"/>
      <c r="F477" s="347"/>
      <c r="G477" s="336" t="s">
        <v>4373</v>
      </c>
      <c r="H477" s="354"/>
      <c r="I477" s="333"/>
      <c r="J477" s="339"/>
    </row>
    <row r="478" spans="1:11">
      <c r="A478" s="305"/>
      <c r="B478" s="212"/>
      <c r="C478" s="326" t="s">
        <v>3990</v>
      </c>
      <c r="D478" s="215"/>
      <c r="E478" s="212"/>
      <c r="F478" s="340"/>
      <c r="G478" s="222" t="s">
        <v>4045</v>
      </c>
      <c r="H478" s="355"/>
      <c r="I478" s="334"/>
      <c r="J478" s="306"/>
    </row>
    <row r="479" spans="1:11" ht="15.75" thickBot="1">
      <c r="A479" s="305"/>
      <c r="B479" s="212"/>
      <c r="C479" s="326"/>
      <c r="D479" s="212">
        <v>820</v>
      </c>
      <c r="E479" s="212"/>
      <c r="F479" s="340"/>
      <c r="G479" s="218" t="s">
        <v>206</v>
      </c>
      <c r="H479" s="355"/>
      <c r="I479" s="334"/>
      <c r="J479" s="306"/>
    </row>
    <row r="480" spans="1:11">
      <c r="A480" s="305"/>
      <c r="B480" s="212"/>
      <c r="C480" s="329" t="s">
        <v>3990</v>
      </c>
      <c r="D480" s="212">
        <v>820</v>
      </c>
      <c r="E480" s="212">
        <v>181</v>
      </c>
      <c r="F480" s="554">
        <v>411</v>
      </c>
      <c r="G480" s="555" t="s">
        <v>4023</v>
      </c>
      <c r="H480" s="500">
        <v>9000000</v>
      </c>
      <c r="I480" s="1267">
        <v>0</v>
      </c>
      <c r="J480" s="1268">
        <f t="shared" ref="J480:J495" si="21">SUM(H480:I480)</f>
        <v>9000000</v>
      </c>
    </row>
    <row r="481" spans="1:10">
      <c r="A481" s="305"/>
      <c r="B481" s="212"/>
      <c r="C481" s="329" t="s">
        <v>3990</v>
      </c>
      <c r="D481" s="212">
        <v>820</v>
      </c>
      <c r="E481" s="212">
        <v>182</v>
      </c>
      <c r="F481" s="1448">
        <v>412</v>
      </c>
      <c r="G481" s="1282" t="s">
        <v>3759</v>
      </c>
      <c r="H481" s="494">
        <v>1650000</v>
      </c>
      <c r="I481" s="1255">
        <v>0</v>
      </c>
      <c r="J481" s="1271">
        <f t="shared" si="21"/>
        <v>1650000</v>
      </c>
    </row>
    <row r="482" spans="1:10">
      <c r="A482" s="305"/>
      <c r="B482" s="212"/>
      <c r="C482" s="329" t="s">
        <v>3990</v>
      </c>
      <c r="D482" s="212">
        <v>820</v>
      </c>
      <c r="E482" s="212">
        <v>183</v>
      </c>
      <c r="F482" s="1448">
        <v>414</v>
      </c>
      <c r="G482" s="1283" t="s">
        <v>3762</v>
      </c>
      <c r="H482" s="494">
        <v>100000</v>
      </c>
      <c r="I482" s="1255">
        <v>0</v>
      </c>
      <c r="J482" s="1271">
        <f t="shared" si="21"/>
        <v>100000</v>
      </c>
    </row>
    <row r="483" spans="1:10">
      <c r="A483" s="305"/>
      <c r="B483" s="212"/>
      <c r="C483" s="329" t="s">
        <v>3990</v>
      </c>
      <c r="D483" s="212">
        <v>820</v>
      </c>
      <c r="E483" s="212">
        <v>184</v>
      </c>
      <c r="F483" s="1448">
        <v>415</v>
      </c>
      <c r="G483" s="1283" t="s">
        <v>4031</v>
      </c>
      <c r="H483" s="494">
        <v>300000</v>
      </c>
      <c r="I483" s="1255">
        <v>0</v>
      </c>
      <c r="J483" s="1271">
        <f t="shared" si="21"/>
        <v>300000</v>
      </c>
    </row>
    <row r="484" spans="1:10">
      <c r="A484" s="305"/>
      <c r="B484" s="212"/>
      <c r="C484" s="329" t="s">
        <v>3990</v>
      </c>
      <c r="D484" s="212">
        <v>820</v>
      </c>
      <c r="E484" s="212">
        <v>185</v>
      </c>
      <c r="F484" s="1448">
        <v>416</v>
      </c>
      <c r="G484" s="1283" t="s">
        <v>4032</v>
      </c>
      <c r="H484" s="494">
        <v>100000</v>
      </c>
      <c r="I484" s="1255">
        <v>0</v>
      </c>
      <c r="J484" s="1271">
        <f t="shared" si="21"/>
        <v>100000</v>
      </c>
    </row>
    <row r="485" spans="1:10">
      <c r="A485" s="305"/>
      <c r="B485" s="212"/>
      <c r="C485" s="329" t="s">
        <v>3990</v>
      </c>
      <c r="D485" s="212">
        <v>820</v>
      </c>
      <c r="E485" s="212">
        <v>186</v>
      </c>
      <c r="F485" s="1448">
        <v>421</v>
      </c>
      <c r="G485" s="1283" t="s">
        <v>3772</v>
      </c>
      <c r="H485" s="494">
        <v>3400000</v>
      </c>
      <c r="I485" s="1255">
        <v>0</v>
      </c>
      <c r="J485" s="1271">
        <f t="shared" si="21"/>
        <v>3400000</v>
      </c>
    </row>
    <row r="486" spans="1:10">
      <c r="A486" s="305"/>
      <c r="B486" s="212"/>
      <c r="C486" s="329" t="s">
        <v>3990</v>
      </c>
      <c r="D486" s="212">
        <v>820</v>
      </c>
      <c r="E486" s="212">
        <v>187</v>
      </c>
      <c r="F486" s="1448">
        <v>422</v>
      </c>
      <c r="G486" s="1283" t="s">
        <v>3773</v>
      </c>
      <c r="H486" s="494">
        <v>100000</v>
      </c>
      <c r="I486" s="1255">
        <v>0</v>
      </c>
      <c r="J486" s="1271">
        <f t="shared" si="21"/>
        <v>100000</v>
      </c>
    </row>
    <row r="487" spans="1:10">
      <c r="A487" s="305"/>
      <c r="B487" s="212"/>
      <c r="C487" s="329" t="s">
        <v>3990</v>
      </c>
      <c r="D487" s="212">
        <v>820</v>
      </c>
      <c r="E487" s="212">
        <v>188</v>
      </c>
      <c r="F487" s="1448">
        <v>423</v>
      </c>
      <c r="G487" s="1283" t="s">
        <v>3774</v>
      </c>
      <c r="H487" s="494">
        <v>2100000</v>
      </c>
      <c r="I487" s="1255">
        <v>0</v>
      </c>
      <c r="J487" s="1271">
        <f t="shared" si="21"/>
        <v>2100000</v>
      </c>
    </row>
    <row r="488" spans="1:10">
      <c r="A488" s="305"/>
      <c r="B488" s="212"/>
      <c r="C488" s="329" t="s">
        <v>3990</v>
      </c>
      <c r="D488" s="212">
        <v>820</v>
      </c>
      <c r="E488" s="212">
        <v>189</v>
      </c>
      <c r="F488" s="1448">
        <v>424</v>
      </c>
      <c r="G488" s="1283" t="s">
        <v>3776</v>
      </c>
      <c r="H488" s="494">
        <v>300000</v>
      </c>
      <c r="I488" s="1255">
        <v>0</v>
      </c>
      <c r="J488" s="1271">
        <f t="shared" si="21"/>
        <v>300000</v>
      </c>
    </row>
    <row r="489" spans="1:10">
      <c r="A489" s="305"/>
      <c r="B489" s="212"/>
      <c r="C489" s="329" t="s">
        <v>3990</v>
      </c>
      <c r="D489" s="212">
        <v>820</v>
      </c>
      <c r="E489" s="212">
        <v>190</v>
      </c>
      <c r="F489" s="1448">
        <v>425</v>
      </c>
      <c r="G489" s="1283" t="s">
        <v>4033</v>
      </c>
      <c r="H489" s="494">
        <v>1440000</v>
      </c>
      <c r="I489" s="1255">
        <v>0</v>
      </c>
      <c r="J489" s="1271">
        <f t="shared" si="21"/>
        <v>1440000</v>
      </c>
    </row>
    <row r="490" spans="1:10">
      <c r="A490" s="305"/>
      <c r="B490" s="212"/>
      <c r="C490" s="329" t="s">
        <v>3990</v>
      </c>
      <c r="D490" s="212">
        <v>820</v>
      </c>
      <c r="E490" s="212">
        <v>191</v>
      </c>
      <c r="F490" s="1448">
        <v>426</v>
      </c>
      <c r="G490" s="1283" t="s">
        <v>3780</v>
      </c>
      <c r="H490" s="494">
        <v>710000</v>
      </c>
      <c r="I490" s="1255">
        <v>0</v>
      </c>
      <c r="J490" s="1271">
        <f t="shared" si="21"/>
        <v>710000</v>
      </c>
    </row>
    <row r="491" spans="1:10">
      <c r="A491" s="854"/>
      <c r="B491" s="212"/>
      <c r="C491" s="329" t="s">
        <v>3990</v>
      </c>
      <c r="D491" s="212">
        <v>820</v>
      </c>
      <c r="E491" s="212">
        <v>192</v>
      </c>
      <c r="F491" s="1448">
        <v>465</v>
      </c>
      <c r="G491" s="1282" t="s">
        <v>4025</v>
      </c>
      <c r="H491" s="494">
        <v>1000000</v>
      </c>
      <c r="I491" s="1255">
        <v>0</v>
      </c>
      <c r="J491" s="1271">
        <f>SUM(H491:I491)</f>
        <v>1000000</v>
      </c>
    </row>
    <row r="492" spans="1:10">
      <c r="A492" s="305"/>
      <c r="B492" s="212"/>
      <c r="C492" s="329" t="s">
        <v>3990</v>
      </c>
      <c r="D492" s="212">
        <v>820</v>
      </c>
      <c r="E492" s="212">
        <v>193</v>
      </c>
      <c r="F492" s="1448">
        <v>482</v>
      </c>
      <c r="G492" s="1283" t="s">
        <v>4035</v>
      </c>
      <c r="H492" s="494">
        <v>50000</v>
      </c>
      <c r="I492" s="1255">
        <v>0</v>
      </c>
      <c r="J492" s="1271">
        <f t="shared" si="21"/>
        <v>50000</v>
      </c>
    </row>
    <row r="493" spans="1:10">
      <c r="A493" s="305"/>
      <c r="B493" s="212"/>
      <c r="C493" s="329" t="s">
        <v>3990</v>
      </c>
      <c r="D493" s="212">
        <v>820</v>
      </c>
      <c r="E493" s="212">
        <v>194</v>
      </c>
      <c r="F493" s="1448">
        <v>483</v>
      </c>
      <c r="G493" s="1283" t="s">
        <v>4036</v>
      </c>
      <c r="H493" s="494">
        <v>500000</v>
      </c>
      <c r="I493" s="1255">
        <v>0</v>
      </c>
      <c r="J493" s="1271">
        <f t="shared" si="21"/>
        <v>500000</v>
      </c>
    </row>
    <row r="494" spans="1:10">
      <c r="A494" s="712"/>
      <c r="B494" s="212"/>
      <c r="C494" s="329" t="s">
        <v>3990</v>
      </c>
      <c r="D494" s="212">
        <v>820</v>
      </c>
      <c r="E494" s="212">
        <v>195</v>
      </c>
      <c r="F494" s="702">
        <v>511</v>
      </c>
      <c r="G494" s="1449" t="s">
        <v>4273</v>
      </c>
      <c r="H494" s="513">
        <v>2900000</v>
      </c>
      <c r="I494" s="1280">
        <v>0</v>
      </c>
      <c r="J494" s="1286">
        <f t="shared" si="21"/>
        <v>2900000</v>
      </c>
    </row>
    <row r="495" spans="1:10" ht="15.75" thickBot="1">
      <c r="A495" s="305"/>
      <c r="B495" s="212"/>
      <c r="C495" s="329" t="s">
        <v>3990</v>
      </c>
      <c r="D495" s="212">
        <v>820</v>
      </c>
      <c r="E495" s="212">
        <v>196</v>
      </c>
      <c r="F495" s="969">
        <v>512</v>
      </c>
      <c r="G495" s="970" t="s">
        <v>4039</v>
      </c>
      <c r="H495" s="495">
        <v>150000</v>
      </c>
      <c r="I495" s="1434">
        <v>0</v>
      </c>
      <c r="J495" s="1435">
        <f t="shared" si="21"/>
        <v>150000</v>
      </c>
    </row>
    <row r="496" spans="1:10" ht="15.75" thickBot="1">
      <c r="A496" s="540"/>
      <c r="B496" s="212"/>
      <c r="C496" s="329" t="s">
        <v>3990</v>
      </c>
      <c r="D496" s="212">
        <v>820</v>
      </c>
      <c r="E496" s="212">
        <v>197</v>
      </c>
      <c r="F496" s="969">
        <v>515</v>
      </c>
      <c r="G496" s="970" t="s">
        <v>4296</v>
      </c>
      <c r="H496" s="495">
        <v>100000</v>
      </c>
      <c r="I496" s="1434">
        <v>0</v>
      </c>
      <c r="J496" s="1435">
        <f>SUM(H496:I496)</f>
        <v>100000</v>
      </c>
    </row>
    <row r="497" spans="1:25" ht="18" customHeight="1" thickBot="1">
      <c r="A497" s="305"/>
      <c r="B497" s="212"/>
      <c r="C497" s="326"/>
      <c r="D497" s="215"/>
      <c r="E497" s="212"/>
      <c r="F497" s="1204" t="s">
        <v>4275</v>
      </c>
      <c r="G497" s="1205"/>
      <c r="H497" s="398">
        <f>SUM(H480:H496)</f>
        <v>23900000</v>
      </c>
      <c r="I497" s="400">
        <f>SUM(I480:I496)</f>
        <v>0</v>
      </c>
      <c r="J497" s="400">
        <f>SUM(J480:J496)</f>
        <v>23900000</v>
      </c>
      <c r="K497" s="578"/>
    </row>
    <row r="498" spans="1:25" ht="25.5" customHeight="1" thickBot="1">
      <c r="A498" s="558"/>
      <c r="B498" s="212"/>
      <c r="C498" s="326"/>
      <c r="D498" s="215"/>
      <c r="E498" s="212"/>
      <c r="F498" s="1195" t="s">
        <v>4648</v>
      </c>
      <c r="G498" s="1196"/>
      <c r="H498" s="349">
        <f>H497</f>
        <v>23900000</v>
      </c>
      <c r="I498" s="349">
        <f>I497</f>
        <v>0</v>
      </c>
      <c r="J498" s="349">
        <f>J497</f>
        <v>23900000</v>
      </c>
      <c r="K498" s="672"/>
    </row>
    <row r="499" spans="1:25" ht="15.75" thickBot="1">
      <c r="A499" s="305"/>
      <c r="B499" s="212"/>
      <c r="C499" s="326"/>
      <c r="D499" s="215"/>
      <c r="E499" s="212"/>
      <c r="F499" s="356"/>
      <c r="G499" s="357"/>
      <c r="H499" s="358"/>
      <c r="I499" s="350"/>
      <c r="J499" s="351"/>
    </row>
    <row r="500" spans="1:25">
      <c r="A500" s="305"/>
      <c r="B500" s="212"/>
      <c r="C500" s="326" t="s">
        <v>3565</v>
      </c>
      <c r="D500" s="215"/>
      <c r="E500" s="212"/>
      <c r="F500" s="541"/>
      <c r="G500" s="517" t="s">
        <v>4382</v>
      </c>
      <c r="H500" s="337"/>
      <c r="I500" s="333"/>
      <c r="J500" s="339"/>
    </row>
    <row r="501" spans="1:25">
      <c r="A501" s="305"/>
      <c r="B501" s="212"/>
      <c r="C501" s="326" t="s">
        <v>4043</v>
      </c>
      <c r="D501" s="215"/>
      <c r="E501" s="212"/>
      <c r="F501" s="340"/>
      <c r="G501" s="518" t="s">
        <v>4410</v>
      </c>
      <c r="H501" s="278"/>
      <c r="I501" s="334"/>
      <c r="J501" s="306"/>
    </row>
    <row r="502" spans="1:25" ht="15.75" thickBot="1">
      <c r="A502" s="305"/>
      <c r="B502" s="212"/>
      <c r="C502" s="329"/>
      <c r="D502" s="212">
        <v>473</v>
      </c>
      <c r="E502" s="212"/>
      <c r="F502" s="340"/>
      <c r="G502" s="542" t="s">
        <v>161</v>
      </c>
      <c r="H502" s="278"/>
      <c r="I502" s="334"/>
      <c r="J502" s="306"/>
    </row>
    <row r="503" spans="1:25">
      <c r="A503" s="305"/>
      <c r="B503" s="212"/>
      <c r="C503" s="329" t="s">
        <v>4043</v>
      </c>
      <c r="D503" s="212">
        <v>473</v>
      </c>
      <c r="E503" s="212">
        <v>178</v>
      </c>
      <c r="F503" s="1450">
        <v>423</v>
      </c>
      <c r="G503" s="555" t="s">
        <v>3774</v>
      </c>
      <c r="H503" s="1451">
        <v>3000000</v>
      </c>
      <c r="I503" s="1452"/>
      <c r="J503" s="1453">
        <f>H503+I503</f>
        <v>3000000</v>
      </c>
    </row>
    <row r="504" spans="1:25">
      <c r="A504" s="305"/>
      <c r="B504" s="212"/>
      <c r="C504" s="329" t="s">
        <v>4043</v>
      </c>
      <c r="D504" s="212">
        <v>473</v>
      </c>
      <c r="E504" s="212">
        <v>179</v>
      </c>
      <c r="F504" s="1339">
        <v>424</v>
      </c>
      <c r="G504" s="682" t="s">
        <v>3776</v>
      </c>
      <c r="H504" s="494">
        <v>4500000</v>
      </c>
      <c r="I504" s="1340">
        <v>0</v>
      </c>
      <c r="J504" s="1271">
        <f>SUM(H504:I504)</f>
        <v>4500000</v>
      </c>
    </row>
    <row r="505" spans="1:25" ht="15.75" thickBot="1">
      <c r="A505" s="305"/>
      <c r="B505" s="212"/>
      <c r="C505" s="329" t="s">
        <v>4043</v>
      </c>
      <c r="D505" s="212">
        <v>473</v>
      </c>
      <c r="E505" s="212">
        <v>180</v>
      </c>
      <c r="F505" s="1342">
        <v>426</v>
      </c>
      <c r="G505" s="679" t="s">
        <v>3780</v>
      </c>
      <c r="H505" s="1343">
        <v>500000</v>
      </c>
      <c r="I505" s="1344">
        <v>0</v>
      </c>
      <c r="J505" s="1345">
        <f>SUM(H505:I505)</f>
        <v>500000</v>
      </c>
    </row>
    <row r="506" spans="1:25" ht="15.75" thickBot="1">
      <c r="A506" s="305"/>
      <c r="B506" s="212"/>
      <c r="C506" s="326"/>
      <c r="D506" s="215"/>
      <c r="E506" s="212"/>
      <c r="F506" s="1204" t="s">
        <v>4383</v>
      </c>
      <c r="G506" s="1205"/>
      <c r="H506" s="482">
        <f>SUM(H503:H505)</f>
        <v>8000000</v>
      </c>
      <c r="I506" s="482">
        <f>SUM(I503:I505)</f>
        <v>0</v>
      </c>
      <c r="J506" s="482">
        <f>SUM(J503:J505)</f>
        <v>8000000</v>
      </c>
      <c r="K506" s="672"/>
    </row>
    <row r="507" spans="1:25" ht="24" customHeight="1" thickBot="1">
      <c r="A507" s="305"/>
      <c r="B507" s="212"/>
      <c r="C507" s="326"/>
      <c r="D507" s="215"/>
      <c r="E507" s="212"/>
      <c r="F507" s="1195" t="s">
        <v>4649</v>
      </c>
      <c r="G507" s="1196"/>
      <c r="H507" s="349">
        <f>H497+H506</f>
        <v>31900000</v>
      </c>
      <c r="I507" s="349">
        <f>I497+I506</f>
        <v>0</v>
      </c>
      <c r="J507" s="349">
        <f>J497+J506</f>
        <v>31900000</v>
      </c>
      <c r="K507" s="672"/>
    </row>
    <row r="508" spans="1:25" ht="38.25" customHeight="1" thickBot="1">
      <c r="A508" s="307"/>
      <c r="B508" s="312"/>
      <c r="C508" s="345"/>
      <c r="D508" s="346"/>
      <c r="E508" s="312"/>
      <c r="F508" s="1185" t="s">
        <v>4645</v>
      </c>
      <c r="G508" s="1186"/>
      <c r="H508" s="617">
        <f>H507</f>
        <v>31900000</v>
      </c>
      <c r="I508" s="615">
        <f>I507</f>
        <v>0</v>
      </c>
      <c r="J508" s="618">
        <f>J507</f>
        <v>31900000</v>
      </c>
      <c r="K508" s="875"/>
    </row>
    <row r="509" spans="1:25" s="528" customFormat="1" ht="15" customHeight="1" thickBot="1">
      <c r="A509" s="523"/>
      <c r="B509" s="378"/>
      <c r="C509" s="404"/>
      <c r="D509" s="405"/>
      <c r="E509" s="378"/>
      <c r="F509" s="881"/>
      <c r="G509" s="881"/>
      <c r="H509" s="407"/>
      <c r="I509" s="407"/>
      <c r="J509" s="584"/>
      <c r="K509" s="407"/>
      <c r="L509" s="527"/>
      <c r="M509" s="646"/>
      <c r="N509" s="646"/>
      <c r="O509" s="527"/>
      <c r="P509" s="527"/>
      <c r="Q509" s="527"/>
      <c r="R509" s="527"/>
      <c r="S509" s="527"/>
      <c r="T509" s="527"/>
      <c r="U509" s="527"/>
      <c r="V509" s="527"/>
      <c r="W509" s="527"/>
      <c r="X509" s="527"/>
      <c r="Y509" s="527"/>
    </row>
    <row r="510" spans="1:25" ht="15.75" thickBot="1">
      <c r="A510" s="314">
        <v>5</v>
      </c>
      <c r="B510" s="314">
        <v>4</v>
      </c>
      <c r="C510" s="798"/>
      <c r="D510" s="316"/>
      <c r="E510" s="316"/>
      <c r="F510" s="316"/>
      <c r="G510" s="335" t="s">
        <v>4604</v>
      </c>
      <c r="H510" s="318"/>
      <c r="I510" s="319"/>
      <c r="J510" s="320"/>
    </row>
    <row r="511" spans="1:25" ht="28.5">
      <c r="A511" s="735"/>
      <c r="B511" s="212"/>
      <c r="C511" s="326" t="s">
        <v>3598</v>
      </c>
      <c r="D511" s="212"/>
      <c r="E511" s="212"/>
      <c r="F511" s="321"/>
      <c r="G511" s="517" t="s">
        <v>4605</v>
      </c>
      <c r="H511" s="792"/>
      <c r="I511" s="339"/>
      <c r="J511" s="339"/>
    </row>
    <row r="512" spans="1:25">
      <c r="A512" s="772"/>
      <c r="B512" s="212"/>
      <c r="C512" s="220" t="s">
        <v>3998</v>
      </c>
      <c r="D512" s="212"/>
      <c r="E512" s="212"/>
      <c r="F512" s="772"/>
      <c r="G512" s="518" t="s">
        <v>4440</v>
      </c>
      <c r="H512" s="791"/>
      <c r="I512" s="306"/>
      <c r="J512" s="306"/>
    </row>
    <row r="513" spans="1:11" ht="30.75" thickBot="1">
      <c r="A513" s="735"/>
      <c r="B513" s="212"/>
      <c r="C513" s="371"/>
      <c r="D513" s="212">
        <v>160</v>
      </c>
      <c r="E513" s="327"/>
      <c r="F513" s="790"/>
      <c r="G513" s="519" t="s">
        <v>4468</v>
      </c>
      <c r="H513" s="791"/>
      <c r="I513" s="306"/>
      <c r="J513" s="306"/>
    </row>
    <row r="514" spans="1:11">
      <c r="A514" s="735"/>
      <c r="B514" s="212"/>
      <c r="C514" s="329" t="s">
        <v>3998</v>
      </c>
      <c r="D514" s="212">
        <v>160</v>
      </c>
      <c r="E514" s="677">
        <v>198</v>
      </c>
      <c r="F514" s="706">
        <v>421</v>
      </c>
      <c r="G514" s="516" t="s">
        <v>3772</v>
      </c>
      <c r="H514" s="707">
        <v>100000</v>
      </c>
      <c r="I514" s="1329">
        <v>0</v>
      </c>
      <c r="J514" s="1454">
        <f>H514+I514</f>
        <v>100000</v>
      </c>
    </row>
    <row r="515" spans="1:11">
      <c r="A515" s="735"/>
      <c r="B515" s="212"/>
      <c r="C515" s="329" t="s">
        <v>3998</v>
      </c>
      <c r="D515" s="212">
        <v>160</v>
      </c>
      <c r="E515" s="677">
        <v>199</v>
      </c>
      <c r="F515" s="1455">
        <v>423</v>
      </c>
      <c r="G515" s="752" t="s">
        <v>3774</v>
      </c>
      <c r="H515" s="708">
        <v>300000</v>
      </c>
      <c r="I515" s="1456">
        <v>0</v>
      </c>
      <c r="J515" s="1457">
        <f>H515+I515</f>
        <v>300000</v>
      </c>
    </row>
    <row r="516" spans="1:11">
      <c r="A516" s="735"/>
      <c r="B516" s="212"/>
      <c r="C516" s="329" t="s">
        <v>3998</v>
      </c>
      <c r="D516" s="212">
        <v>160</v>
      </c>
      <c r="E516" s="677">
        <v>200</v>
      </c>
      <c r="F516" s="709">
        <v>424</v>
      </c>
      <c r="G516" s="752" t="s">
        <v>3776</v>
      </c>
      <c r="H516" s="710">
        <v>1100000</v>
      </c>
      <c r="I516" s="1458">
        <v>0</v>
      </c>
      <c r="J516" s="1457">
        <f>H516+I516</f>
        <v>1100000</v>
      </c>
    </row>
    <row r="517" spans="1:11">
      <c r="A517" s="735"/>
      <c r="B517" s="212"/>
      <c r="C517" s="329" t="s">
        <v>3998</v>
      </c>
      <c r="D517" s="212">
        <v>160</v>
      </c>
      <c r="E517" s="677">
        <v>201</v>
      </c>
      <c r="F517" s="709">
        <v>426</v>
      </c>
      <c r="G517" s="752" t="s">
        <v>3780</v>
      </c>
      <c r="H517" s="710">
        <v>130000</v>
      </c>
      <c r="I517" s="1458">
        <v>0</v>
      </c>
      <c r="J517" s="1459">
        <f>H517+I517</f>
        <v>130000</v>
      </c>
    </row>
    <row r="518" spans="1:11" ht="15.75" thickBot="1">
      <c r="A518" s="735"/>
      <c r="B518" s="212"/>
      <c r="C518" s="329" t="s">
        <v>3998</v>
      </c>
      <c r="D518" s="212">
        <v>160</v>
      </c>
      <c r="E518" s="677">
        <v>202</v>
      </c>
      <c r="F518" s="1460">
        <v>483</v>
      </c>
      <c r="G518" s="1427" t="s">
        <v>4036</v>
      </c>
      <c r="H518" s="1461">
        <v>0</v>
      </c>
      <c r="I518" s="1462">
        <v>0</v>
      </c>
      <c r="J518" s="1463">
        <f>H518+I518</f>
        <v>0</v>
      </c>
    </row>
    <row r="519" spans="1:11" ht="15.75" thickBot="1">
      <c r="A519" s="735"/>
      <c r="B519" s="212"/>
      <c r="C519" s="326"/>
      <c r="D519" s="215"/>
      <c r="E519" s="212"/>
      <c r="F519" s="1204" t="s">
        <v>4652</v>
      </c>
      <c r="G519" s="1228"/>
      <c r="H519" s="482">
        <f>SUM(H513:H518)</f>
        <v>1630000</v>
      </c>
      <c r="I519" s="483">
        <f>SUM(I513:I518)</f>
        <v>0</v>
      </c>
      <c r="J519" s="483">
        <f>SUM(J513:J518)</f>
        <v>1630000</v>
      </c>
    </row>
    <row r="520" spans="1:11" ht="30.75" customHeight="1" thickBot="1">
      <c r="A520" s="522"/>
      <c r="B520" s="381"/>
      <c r="C520" s="389"/>
      <c r="D520" s="390"/>
      <c r="E520" s="381"/>
      <c r="F520" s="1185" t="s">
        <v>4704</v>
      </c>
      <c r="G520" s="1186"/>
      <c r="H520" s="616">
        <f t="shared" ref="H520:J520" si="22">H519</f>
        <v>1630000</v>
      </c>
      <c r="I520" s="615">
        <f t="shared" si="22"/>
        <v>0</v>
      </c>
      <c r="J520" s="615">
        <f t="shared" si="22"/>
        <v>1630000</v>
      </c>
    </row>
    <row r="521" spans="1:11" ht="36.75" customHeight="1" thickBot="1">
      <c r="A521" s="356"/>
      <c r="B521" s="382"/>
      <c r="C521" s="383"/>
      <c r="D521" s="382"/>
      <c r="E521" s="382"/>
      <c r="F521" s="1202" t="s">
        <v>4457</v>
      </c>
      <c r="G521" s="1203"/>
      <c r="H521" s="344">
        <f>H508+H474+H446+H520+H424</f>
        <v>797280000</v>
      </c>
      <c r="I521" s="344">
        <f t="shared" ref="I521:J521" si="23">I508+I474+I446+I520+I424</f>
        <v>218700000</v>
      </c>
      <c r="J521" s="344">
        <f t="shared" si="23"/>
        <v>1015980000</v>
      </c>
      <c r="K521" s="672"/>
    </row>
    <row r="522" spans="1:11" ht="29.25" customHeight="1" thickBot="1">
      <c r="A522" s="356"/>
      <c r="B522" s="382"/>
      <c r="C522" s="383"/>
      <c r="D522" s="382"/>
      <c r="E522" s="382"/>
      <c r="F522" s="663"/>
      <c r="G522" s="664" t="s">
        <v>4282</v>
      </c>
      <c r="H522" s="665">
        <f>H521+H60+H46+H30+H15</f>
        <v>816000000</v>
      </c>
      <c r="I522" s="665">
        <f>I521+I60+I46+I30+I15</f>
        <v>218700000</v>
      </c>
      <c r="J522" s="781">
        <f>J521+J60+J46+J30+J15</f>
        <v>1034700000</v>
      </c>
      <c r="K522" s="1265"/>
    </row>
    <row r="523" spans="1:11" ht="29.25" customHeight="1" thickBot="1">
      <c r="A523" s="378"/>
      <c r="B523" s="378"/>
      <c r="C523" s="524"/>
      <c r="D523" s="378"/>
      <c r="E523" s="378"/>
      <c r="F523" s="778"/>
      <c r="G523" s="779"/>
      <c r="H523" s="780"/>
      <c r="I523" s="780"/>
      <c r="J523" s="780"/>
      <c r="K523" s="780"/>
    </row>
    <row r="524" spans="1:11" ht="12.75" customHeight="1">
      <c r="A524" s="321"/>
      <c r="B524" s="322"/>
      <c r="C524" s="777"/>
      <c r="D524" s="322"/>
      <c r="E524" s="322"/>
      <c r="F524" s="384"/>
      <c r="G524" s="385"/>
      <c r="H524" s="1179" t="s">
        <v>4603</v>
      </c>
      <c r="I524" s="1179" t="s">
        <v>4567</v>
      </c>
      <c r="J524" s="1182" t="s">
        <v>4018</v>
      </c>
    </row>
    <row r="525" spans="1:11" ht="25.5" customHeight="1">
      <c r="A525" s="772"/>
      <c r="B525" s="212"/>
      <c r="C525" s="329"/>
      <c r="D525" s="212"/>
      <c r="E525" s="212"/>
      <c r="F525" s="1222" t="s">
        <v>4283</v>
      </c>
      <c r="G525" s="1223"/>
      <c r="H525" s="1180"/>
      <c r="I525" s="1180"/>
      <c r="J525" s="1183"/>
    </row>
    <row r="526" spans="1:11" ht="24.75" customHeight="1" thickBot="1">
      <c r="A526" s="772"/>
      <c r="B526" s="212"/>
      <c r="C526" s="329"/>
      <c r="D526" s="212"/>
      <c r="E526" s="212"/>
      <c r="F526" s="1224"/>
      <c r="G526" s="1225"/>
      <c r="H526" s="1181"/>
      <c r="I526" s="1181"/>
      <c r="J526" s="1184"/>
    </row>
    <row r="527" spans="1:11">
      <c r="A527" s="772"/>
      <c r="B527" s="212"/>
      <c r="C527" s="329"/>
      <c r="D527" s="212"/>
      <c r="E527" s="212"/>
      <c r="F527" s="1226" t="s">
        <v>4284</v>
      </c>
      <c r="G527" s="1227"/>
      <c r="H527" s="337">
        <v>572030000</v>
      </c>
      <c r="I527" s="333"/>
      <c r="J527" s="339">
        <f>SUM(H527:I527)</f>
        <v>572030000</v>
      </c>
    </row>
    <row r="528" spans="1:11">
      <c r="A528" s="772"/>
      <c r="B528" s="212"/>
      <c r="C528" s="329"/>
      <c r="D528" s="212"/>
      <c r="E528" s="212"/>
      <c r="F528" s="1220" t="s">
        <v>4285</v>
      </c>
      <c r="G528" s="1221"/>
      <c r="H528" s="278"/>
      <c r="I528" s="334"/>
      <c r="J528" s="306"/>
    </row>
    <row r="529" spans="1:10">
      <c r="A529" s="772"/>
      <c r="B529" s="212"/>
      <c r="C529" s="329"/>
      <c r="D529" s="212"/>
      <c r="E529" s="212"/>
      <c r="F529" s="1220" t="s">
        <v>4286</v>
      </c>
      <c r="G529" s="1221"/>
      <c r="H529" s="278"/>
      <c r="I529" s="334"/>
      <c r="J529" s="306"/>
    </row>
    <row r="530" spans="1:10">
      <c r="A530" s="772"/>
      <c r="B530" s="212"/>
      <c r="C530" s="329"/>
      <c r="D530" s="212"/>
      <c r="E530" s="212"/>
      <c r="F530" s="1220" t="s">
        <v>4287</v>
      </c>
      <c r="G530" s="1221"/>
      <c r="H530" s="278"/>
      <c r="I530" s="334">
        <v>25500000</v>
      </c>
      <c r="J530" s="306">
        <f>SUM(H530:I530)</f>
        <v>25500000</v>
      </c>
    </row>
    <row r="531" spans="1:10">
      <c r="A531" s="772"/>
      <c r="B531" s="212"/>
      <c r="C531" s="329"/>
      <c r="D531" s="212"/>
      <c r="E531" s="212"/>
      <c r="F531" s="1220" t="s">
        <v>4288</v>
      </c>
      <c r="G531" s="1221"/>
      <c r="H531" s="278"/>
      <c r="I531" s="334"/>
      <c r="J531" s="306">
        <f t="shared" ref="J531:J539" si="24">SUM(H531:I531)</f>
        <v>0</v>
      </c>
    </row>
    <row r="532" spans="1:10">
      <c r="A532" s="772"/>
      <c r="B532" s="212"/>
      <c r="C532" s="329"/>
      <c r="D532" s="212"/>
      <c r="E532" s="212"/>
      <c r="F532" s="1220" t="s">
        <v>4289</v>
      </c>
      <c r="G532" s="1221"/>
      <c r="H532" s="278"/>
      <c r="I532" s="334">
        <v>57900000</v>
      </c>
      <c r="J532" s="306">
        <f t="shared" si="24"/>
        <v>57900000</v>
      </c>
    </row>
    <row r="533" spans="1:10">
      <c r="A533" s="772"/>
      <c r="B533" s="212"/>
      <c r="C533" s="329"/>
      <c r="D533" s="212"/>
      <c r="E533" s="212"/>
      <c r="F533" s="1220" t="s">
        <v>4451</v>
      </c>
      <c r="G533" s="1221"/>
      <c r="H533" s="386">
        <v>51090000</v>
      </c>
      <c r="I533" s="334">
        <v>135300000</v>
      </c>
      <c r="J533" s="306">
        <f t="shared" si="24"/>
        <v>186390000</v>
      </c>
    </row>
    <row r="534" spans="1:10">
      <c r="A534" s="772"/>
      <c r="B534" s="212"/>
      <c r="C534" s="329"/>
      <c r="D534" s="212"/>
      <c r="E534" s="212"/>
      <c r="F534" s="1220" t="s">
        <v>4560</v>
      </c>
      <c r="G534" s="1221"/>
      <c r="H534" s="278">
        <v>3580000</v>
      </c>
      <c r="I534" s="334">
        <v>0</v>
      </c>
      <c r="J534" s="306">
        <f t="shared" si="24"/>
        <v>3580000</v>
      </c>
    </row>
    <row r="535" spans="1:10">
      <c r="A535" s="772"/>
      <c r="B535" s="212"/>
      <c r="C535" s="329"/>
      <c r="D535" s="212"/>
      <c r="E535" s="212"/>
      <c r="F535" s="1220" t="s">
        <v>4290</v>
      </c>
      <c r="G535" s="1221"/>
      <c r="H535" s="278">
        <v>98300000</v>
      </c>
      <c r="I535" s="334"/>
      <c r="J535" s="306">
        <f t="shared" si="24"/>
        <v>98300000</v>
      </c>
    </row>
    <row r="536" spans="1:10">
      <c r="A536" s="772"/>
      <c r="B536" s="212"/>
      <c r="C536" s="329"/>
      <c r="D536" s="212"/>
      <c r="E536" s="212"/>
      <c r="F536" s="1220" t="s">
        <v>4291</v>
      </c>
      <c r="G536" s="1221"/>
      <c r="H536" s="278"/>
      <c r="I536" s="334"/>
      <c r="J536" s="306">
        <f t="shared" si="24"/>
        <v>0</v>
      </c>
    </row>
    <row r="537" spans="1:10">
      <c r="A537" s="772"/>
      <c r="B537" s="212"/>
      <c r="C537" s="329"/>
      <c r="D537" s="212"/>
      <c r="E537" s="212"/>
      <c r="F537" s="1220" t="s">
        <v>4292</v>
      </c>
      <c r="G537" s="1221"/>
      <c r="H537" s="278"/>
      <c r="I537" s="334"/>
      <c r="J537" s="306">
        <f t="shared" si="24"/>
        <v>0</v>
      </c>
    </row>
    <row r="538" spans="1:10" ht="39" customHeight="1">
      <c r="A538" s="772"/>
      <c r="B538" s="212"/>
      <c r="C538" s="329"/>
      <c r="D538" s="212"/>
      <c r="E538" s="212"/>
      <c r="F538" s="1237" t="s">
        <v>4293</v>
      </c>
      <c r="G538" s="1238"/>
      <c r="H538" s="278"/>
      <c r="I538" s="334"/>
      <c r="J538" s="306">
        <f t="shared" si="24"/>
        <v>0</v>
      </c>
    </row>
    <row r="539" spans="1:10">
      <c r="A539" s="772"/>
      <c r="B539" s="212"/>
      <c r="C539" s="329"/>
      <c r="D539" s="212"/>
      <c r="E539" s="212"/>
      <c r="F539" s="1220" t="s">
        <v>4294</v>
      </c>
      <c r="G539" s="1221"/>
      <c r="H539" s="278">
        <v>91000000</v>
      </c>
      <c r="I539" s="334"/>
      <c r="J539" s="306">
        <f t="shared" si="24"/>
        <v>91000000</v>
      </c>
    </row>
    <row r="540" spans="1:10">
      <c r="A540" s="772"/>
      <c r="B540" s="212"/>
      <c r="C540" s="329"/>
      <c r="D540" s="212"/>
      <c r="E540" s="212"/>
      <c r="F540" s="1220" t="s">
        <v>4561</v>
      </c>
      <c r="G540" s="1221"/>
      <c r="H540" s="278"/>
      <c r="I540" s="334"/>
      <c r="J540" s="306"/>
    </row>
    <row r="541" spans="1:10">
      <c r="A541" s="772"/>
      <c r="B541" s="212"/>
      <c r="C541" s="329"/>
      <c r="D541" s="212"/>
      <c r="E541" s="212"/>
      <c r="F541" s="1220" t="s">
        <v>4562</v>
      </c>
      <c r="G541" s="1221"/>
      <c r="H541" s="278"/>
      <c r="I541" s="334"/>
      <c r="J541" s="306"/>
    </row>
    <row r="542" spans="1:10">
      <c r="A542" s="772"/>
      <c r="B542" s="212"/>
      <c r="C542" s="329"/>
      <c r="D542" s="212"/>
      <c r="E542" s="212"/>
      <c r="F542" s="1220" t="s">
        <v>4563</v>
      </c>
      <c r="G542" s="1221"/>
      <c r="H542" s="278"/>
      <c r="I542" s="334"/>
      <c r="J542" s="306"/>
    </row>
    <row r="543" spans="1:10" ht="15.75" thickBot="1">
      <c r="A543" s="772"/>
      <c r="B543" s="212"/>
      <c r="C543" s="329"/>
      <c r="D543" s="212"/>
      <c r="E543" s="212"/>
      <c r="F543" s="1235" t="s">
        <v>4564</v>
      </c>
      <c r="G543" s="1236"/>
      <c r="H543" s="308"/>
      <c r="I543" s="343">
        <v>0</v>
      </c>
      <c r="J543" s="306">
        <f t="shared" ref="J543" si="25">SUM(H543:I543)</f>
        <v>0</v>
      </c>
    </row>
    <row r="544" spans="1:10" ht="29.25" customHeight="1" thickBot="1">
      <c r="A544" s="307"/>
      <c r="B544" s="312"/>
      <c r="C544" s="330"/>
      <c r="D544" s="312"/>
      <c r="E544" s="312"/>
      <c r="F544" s="776"/>
      <c r="G544" s="664" t="s">
        <v>4282</v>
      </c>
      <c r="H544" s="666">
        <f>SUM(H527:H543)</f>
        <v>816000000</v>
      </c>
      <c r="I544" s="667">
        <f>SUM(I527:I543)</f>
        <v>218700000</v>
      </c>
      <c r="J544" s="668">
        <f>SUM(J527:J543)</f>
        <v>1034700000</v>
      </c>
    </row>
  </sheetData>
  <autoFilter ref="F1:F544"/>
  <mergeCells count="119">
    <mergeCell ref="F84:G84"/>
    <mergeCell ref="F270:G270"/>
    <mergeCell ref="F75:G75"/>
    <mergeCell ref="F103:G103"/>
    <mergeCell ref="F93:G93"/>
    <mergeCell ref="F14:G14"/>
    <mergeCell ref="F45:G45"/>
    <mergeCell ref="F59:G59"/>
    <mergeCell ref="F30:G30"/>
    <mergeCell ref="F46:G46"/>
    <mergeCell ref="F60:G60"/>
    <mergeCell ref="F109:G109"/>
    <mergeCell ref="F218:G218"/>
    <mergeCell ref="F224:G224"/>
    <mergeCell ref="F144:G144"/>
    <mergeCell ref="F154:G154"/>
    <mergeCell ref="F159:G159"/>
    <mergeCell ref="F149:G149"/>
    <mergeCell ref="F200:G200"/>
    <mergeCell ref="F181:G181"/>
    <mergeCell ref="F231:J231"/>
    <mergeCell ref="F160:G160"/>
    <mergeCell ref="F168:G168"/>
    <mergeCell ref="F225:J225"/>
    <mergeCell ref="F409:G409"/>
    <mergeCell ref="F300:G300"/>
    <mergeCell ref="F246:G246"/>
    <mergeCell ref="F167:G167"/>
    <mergeCell ref="F402:G402"/>
    <mergeCell ref="F236:G236"/>
    <mergeCell ref="F241:G241"/>
    <mergeCell ref="F206:G206"/>
    <mergeCell ref="F212:G212"/>
    <mergeCell ref="F230:G230"/>
    <mergeCell ref="F192:G192"/>
    <mergeCell ref="F371:G371"/>
    <mergeCell ref="F543:G543"/>
    <mergeCell ref="F533:G533"/>
    <mergeCell ref="F534:G534"/>
    <mergeCell ref="F535:G535"/>
    <mergeCell ref="F536:G536"/>
    <mergeCell ref="F537:G537"/>
    <mergeCell ref="F538:G538"/>
    <mergeCell ref="F539:G539"/>
    <mergeCell ref="F540:G540"/>
    <mergeCell ref="F541:G541"/>
    <mergeCell ref="F542:G542"/>
    <mergeCell ref="F528:G528"/>
    <mergeCell ref="F529:G529"/>
    <mergeCell ref="F530:G530"/>
    <mergeCell ref="F531:G531"/>
    <mergeCell ref="F532:G532"/>
    <mergeCell ref="F525:G525"/>
    <mergeCell ref="F526:G526"/>
    <mergeCell ref="F527:G527"/>
    <mergeCell ref="F110:G110"/>
    <mergeCell ref="F254:G254"/>
    <mergeCell ref="F278:G278"/>
    <mergeCell ref="F361:G361"/>
    <mergeCell ref="F379:G379"/>
    <mergeCell ref="F386:G386"/>
    <mergeCell ref="F474:G474"/>
    <mergeCell ref="F424:G424"/>
    <mergeCell ref="F444:G444"/>
    <mergeCell ref="F414:G414"/>
    <mergeCell ref="F446:G446"/>
    <mergeCell ref="F519:G519"/>
    <mergeCell ref="F391:G391"/>
    <mergeCell ref="F349:G349"/>
    <mergeCell ref="F355:G355"/>
    <mergeCell ref="F354:G354"/>
    <mergeCell ref="K15:K17"/>
    <mergeCell ref="F521:G521"/>
    <mergeCell ref="F277:G277"/>
    <mergeCell ref="F260:G260"/>
    <mergeCell ref="F265:G265"/>
    <mergeCell ref="F497:G497"/>
    <mergeCell ref="F506:G506"/>
    <mergeCell ref="F508:G508"/>
    <mergeCell ref="F328:G328"/>
    <mergeCell ref="F180:G180"/>
    <mergeCell ref="F337:G337"/>
    <mergeCell ref="F343:G343"/>
    <mergeCell ref="I15:I17"/>
    <mergeCell ref="J15:J17"/>
    <mergeCell ref="F29:G29"/>
    <mergeCell ref="F15:G17"/>
    <mergeCell ref="H15:H17"/>
    <mergeCell ref="F380:G380"/>
    <mergeCell ref="F472:G472"/>
    <mergeCell ref="F98:G98"/>
    <mergeCell ref="F70:G70"/>
    <mergeCell ref="F117:G117"/>
    <mergeCell ref="F118:G118"/>
    <mergeCell ref="F392:G392"/>
    <mergeCell ref="A249:E249"/>
    <mergeCell ref="H250:H252"/>
    <mergeCell ref="I250:I252"/>
    <mergeCell ref="J250:J252"/>
    <mergeCell ref="H524:H526"/>
    <mergeCell ref="I524:I526"/>
    <mergeCell ref="J524:J526"/>
    <mergeCell ref="F520:G520"/>
    <mergeCell ref="F247:G247"/>
    <mergeCell ref="F342:G342"/>
    <mergeCell ref="F401:G401"/>
    <mergeCell ref="F305:G305"/>
    <mergeCell ref="F285:G285"/>
    <mergeCell ref="F292:G292"/>
    <mergeCell ref="F366:G366"/>
    <mergeCell ref="F445:G445"/>
    <mergeCell ref="F473:G473"/>
    <mergeCell ref="F498:G498"/>
    <mergeCell ref="F507:G507"/>
    <mergeCell ref="F415:G415"/>
    <mergeCell ref="F422:G422"/>
    <mergeCell ref="F423:G423"/>
    <mergeCell ref="F315:G315"/>
    <mergeCell ref="F314:G314"/>
  </mergeCells>
  <pageMargins left="0.24" right="0.27" top="0.26" bottom="0.24" header="0.2" footer="0.19"/>
  <pageSetup orientation="landscape" r:id="rId1"/>
  <legacyDrawing r:id="rId2"/>
</worksheet>
</file>

<file path=xl/worksheets/sheet9.xml><?xml version="1.0" encoding="utf-8"?>
<worksheet xmlns="http://schemas.openxmlformats.org/spreadsheetml/2006/main" xmlns:r="http://schemas.openxmlformats.org/officeDocument/2006/relationships">
  <sheetPr>
    <tabColor theme="0"/>
  </sheetPr>
  <dimension ref="A1:AD4732"/>
  <sheetViews>
    <sheetView workbookViewId="0">
      <selection activeCell="D1" sqref="D1"/>
    </sheetView>
  </sheetViews>
  <sheetFormatPr defaultRowHeight="15"/>
  <cols>
    <col min="1" max="1" width="7.7109375" customWidth="1"/>
    <col min="2" max="2" width="65.140625" customWidth="1"/>
    <col min="8" max="8" width="54" customWidth="1"/>
    <col min="12" max="12" width="11" customWidth="1"/>
    <col min="13" max="13" width="84.42578125" customWidth="1"/>
    <col min="14" max="14" width="11.140625" customWidth="1"/>
    <col min="15" max="15" width="9.85546875" customWidth="1"/>
    <col min="16" max="16" width="44.28515625" customWidth="1"/>
    <col min="17" max="17" width="22.85546875" customWidth="1"/>
    <col min="18" max="18" width="20.85546875" customWidth="1"/>
    <col min="19" max="19" width="18.42578125" customWidth="1"/>
    <col min="20" max="20" width="17.7109375" customWidth="1"/>
    <col min="21" max="21" width="53.140625" customWidth="1"/>
  </cols>
  <sheetData>
    <row r="1" spans="1:18" ht="18.75">
      <c r="A1" s="1250" t="s">
        <v>92</v>
      </c>
      <c r="B1" s="1250"/>
      <c r="G1" s="1251" t="s">
        <v>232</v>
      </c>
      <c r="H1" s="1251"/>
      <c r="L1" s="1252" t="s">
        <v>264</v>
      </c>
      <c r="M1" s="1252"/>
      <c r="N1" s="67"/>
      <c r="O1" s="67"/>
      <c r="P1" s="67" t="s">
        <v>3554</v>
      </c>
    </row>
    <row r="2" spans="1:18">
      <c r="A2" s="58">
        <v>0</v>
      </c>
      <c r="B2" s="57" t="s">
        <v>93</v>
      </c>
      <c r="G2" s="245" t="s">
        <v>233</v>
      </c>
      <c r="H2" s="246" t="s">
        <v>234</v>
      </c>
      <c r="L2" s="68" t="s">
        <v>3553</v>
      </c>
      <c r="M2" s="68" t="s">
        <v>21</v>
      </c>
      <c r="P2" s="66" t="s">
        <v>3600</v>
      </c>
      <c r="Q2" s="66" t="s">
        <v>3601</v>
      </c>
      <c r="R2" s="66" t="s">
        <v>3602</v>
      </c>
    </row>
    <row r="3" spans="1:18">
      <c r="A3" s="61">
        <v>10</v>
      </c>
      <c r="B3" s="60" t="s">
        <v>94</v>
      </c>
      <c r="G3" s="245" t="s">
        <v>235</v>
      </c>
      <c r="H3" s="246" t="s">
        <v>236</v>
      </c>
      <c r="L3" s="69">
        <v>0</v>
      </c>
      <c r="M3" t="s">
        <v>265</v>
      </c>
      <c r="O3" s="65"/>
      <c r="P3" s="71" t="s">
        <v>3659</v>
      </c>
      <c r="Q3" s="72" t="s">
        <v>3556</v>
      </c>
      <c r="R3" s="73" t="s">
        <v>3557</v>
      </c>
    </row>
    <row r="4" spans="1:18">
      <c r="A4" s="61">
        <v>20</v>
      </c>
      <c r="B4" s="60" t="s">
        <v>95</v>
      </c>
      <c r="G4" s="245" t="s">
        <v>237</v>
      </c>
      <c r="H4" s="246" t="s">
        <v>238</v>
      </c>
      <c r="L4" s="69">
        <v>10000</v>
      </c>
      <c r="M4" t="s">
        <v>266</v>
      </c>
      <c r="O4" s="64"/>
      <c r="P4" s="71" t="s">
        <v>3660</v>
      </c>
      <c r="Q4" s="72" t="s">
        <v>3559</v>
      </c>
      <c r="R4" s="73" t="s">
        <v>3560</v>
      </c>
    </row>
    <row r="5" spans="1:18">
      <c r="A5" s="61">
        <v>30</v>
      </c>
      <c r="B5" s="60" t="s">
        <v>96</v>
      </c>
      <c r="G5" s="245" t="s">
        <v>239</v>
      </c>
      <c r="H5" s="246" t="s">
        <v>240</v>
      </c>
      <c r="L5" s="69">
        <v>11000</v>
      </c>
      <c r="M5" t="s">
        <v>267</v>
      </c>
      <c r="P5" s="71" t="s">
        <v>3661</v>
      </c>
      <c r="Q5" s="72" t="s">
        <v>3562</v>
      </c>
      <c r="R5" s="73" t="s">
        <v>3563</v>
      </c>
    </row>
    <row r="6" spans="1:18">
      <c r="A6" s="61">
        <v>40</v>
      </c>
      <c r="B6" s="60" t="s">
        <v>97</v>
      </c>
      <c r="G6" s="245" t="s">
        <v>241</v>
      </c>
      <c r="H6" s="246" t="s">
        <v>242</v>
      </c>
      <c r="L6" s="69">
        <v>11100</v>
      </c>
      <c r="M6" t="s">
        <v>268</v>
      </c>
      <c r="P6" s="71" t="s">
        <v>3662</v>
      </c>
      <c r="Q6" s="72" t="s">
        <v>3565</v>
      </c>
      <c r="R6" s="73" t="s">
        <v>3566</v>
      </c>
    </row>
    <row r="7" spans="1:18">
      <c r="A7" s="61">
        <v>50</v>
      </c>
      <c r="B7" s="60" t="s">
        <v>98</v>
      </c>
      <c r="G7" s="245" t="s">
        <v>243</v>
      </c>
      <c r="H7" s="246" t="s">
        <v>244</v>
      </c>
      <c r="L7" s="69">
        <v>11110</v>
      </c>
      <c r="M7" t="s">
        <v>269</v>
      </c>
      <c r="P7" s="71" t="s">
        <v>3663</v>
      </c>
      <c r="Q7" s="72" t="s">
        <v>3568</v>
      </c>
      <c r="R7" s="73" t="s">
        <v>3569</v>
      </c>
    </row>
    <row r="8" spans="1:18">
      <c r="A8" s="61">
        <v>60</v>
      </c>
      <c r="B8" s="60" t="s">
        <v>99</v>
      </c>
      <c r="G8" s="245" t="s">
        <v>245</v>
      </c>
      <c r="H8" s="246" t="s">
        <v>246</v>
      </c>
      <c r="L8" s="69">
        <v>11111</v>
      </c>
      <c r="M8" t="s">
        <v>270</v>
      </c>
      <c r="P8" s="71" t="s">
        <v>3664</v>
      </c>
      <c r="Q8" s="72" t="s">
        <v>3571</v>
      </c>
      <c r="R8" s="73" t="s">
        <v>3572</v>
      </c>
    </row>
    <row r="9" spans="1:18">
      <c r="A9" s="61">
        <v>70</v>
      </c>
      <c r="B9" s="60" t="s">
        <v>100</v>
      </c>
      <c r="G9" s="245" t="s">
        <v>247</v>
      </c>
      <c r="H9" s="246" t="s">
        <v>4682</v>
      </c>
      <c r="L9" s="69">
        <v>11112</v>
      </c>
      <c r="M9" t="s">
        <v>271</v>
      </c>
      <c r="P9" s="71" t="s">
        <v>3665</v>
      </c>
      <c r="Q9" s="72" t="s">
        <v>3574</v>
      </c>
      <c r="R9" s="73" t="s">
        <v>3575</v>
      </c>
    </row>
    <row r="10" spans="1:18">
      <c r="A10" s="61">
        <v>80</v>
      </c>
      <c r="B10" s="60" t="s">
        <v>101</v>
      </c>
      <c r="G10" s="245" t="s">
        <v>248</v>
      </c>
      <c r="H10" s="246" t="s">
        <v>56</v>
      </c>
      <c r="L10" s="69">
        <v>11113</v>
      </c>
      <c r="M10" t="s">
        <v>272</v>
      </c>
      <c r="P10" s="71" t="s">
        <v>3666</v>
      </c>
      <c r="Q10" s="72" t="s">
        <v>3577</v>
      </c>
      <c r="R10" s="73" t="s">
        <v>3578</v>
      </c>
    </row>
    <row r="11" spans="1:18">
      <c r="A11" s="61">
        <v>90</v>
      </c>
      <c r="B11" s="60" t="s">
        <v>102</v>
      </c>
      <c r="G11" s="245" t="s">
        <v>249</v>
      </c>
      <c r="H11" s="246" t="s">
        <v>250</v>
      </c>
      <c r="L11" s="69">
        <v>11115</v>
      </c>
      <c r="M11" t="s">
        <v>273</v>
      </c>
      <c r="P11" s="71" t="s">
        <v>3667</v>
      </c>
      <c r="Q11" s="72" t="s">
        <v>3580</v>
      </c>
      <c r="R11" s="73" t="s">
        <v>3581</v>
      </c>
    </row>
    <row r="12" spans="1:18">
      <c r="A12" s="56">
        <v>100</v>
      </c>
      <c r="B12" s="57" t="s">
        <v>103</v>
      </c>
      <c r="G12" s="245" t="s">
        <v>251</v>
      </c>
      <c r="H12" s="246" t="s">
        <v>252</v>
      </c>
      <c r="L12" s="69">
        <v>11116</v>
      </c>
      <c r="M12" t="s">
        <v>274</v>
      </c>
      <c r="P12" s="71" t="s">
        <v>3668</v>
      </c>
      <c r="Q12" s="72" t="s">
        <v>3583</v>
      </c>
      <c r="R12" s="73" t="s">
        <v>3584</v>
      </c>
    </row>
    <row r="13" spans="1:18">
      <c r="A13" s="59">
        <v>110</v>
      </c>
      <c r="B13" s="60" t="s">
        <v>104</v>
      </c>
      <c r="G13" s="245" t="s">
        <v>253</v>
      </c>
      <c r="H13" s="246" t="s">
        <v>254</v>
      </c>
      <c r="L13" s="69">
        <v>11117</v>
      </c>
      <c r="M13" t="s">
        <v>275</v>
      </c>
      <c r="P13" s="71" t="s">
        <v>3669</v>
      </c>
      <c r="Q13" s="72" t="s">
        <v>3586</v>
      </c>
      <c r="R13" s="73" t="s">
        <v>3587</v>
      </c>
    </row>
    <row r="14" spans="1:18">
      <c r="A14" s="62">
        <v>111</v>
      </c>
      <c r="B14" s="63" t="s">
        <v>105</v>
      </c>
      <c r="G14" s="245" t="s">
        <v>255</v>
      </c>
      <c r="H14" s="246" t="s">
        <v>256</v>
      </c>
      <c r="L14" s="69">
        <v>11118</v>
      </c>
      <c r="M14" t="s">
        <v>276</v>
      </c>
      <c r="P14" s="71" t="s">
        <v>3670</v>
      </c>
      <c r="Q14" s="72" t="s">
        <v>3589</v>
      </c>
      <c r="R14" s="73" t="s">
        <v>3590</v>
      </c>
    </row>
    <row r="15" spans="1:18">
      <c r="A15" s="62">
        <v>112</v>
      </c>
      <c r="B15" s="63" t="s">
        <v>106</v>
      </c>
      <c r="G15" s="245" t="s">
        <v>257</v>
      </c>
      <c r="H15" s="246" t="s">
        <v>258</v>
      </c>
      <c r="L15" s="69">
        <v>11119</v>
      </c>
      <c r="M15" t="s">
        <v>277</v>
      </c>
      <c r="P15" s="71" t="s">
        <v>3671</v>
      </c>
      <c r="Q15" s="72" t="s">
        <v>3592</v>
      </c>
      <c r="R15" s="73" t="s">
        <v>3593</v>
      </c>
    </row>
    <row r="16" spans="1:18">
      <c r="A16" s="62">
        <v>113</v>
      </c>
      <c r="B16" s="63" t="s">
        <v>107</v>
      </c>
      <c r="G16" s="245" t="s">
        <v>259</v>
      </c>
      <c r="H16" s="246" t="s">
        <v>260</v>
      </c>
      <c r="L16" s="69">
        <v>11120</v>
      </c>
      <c r="M16" t="s">
        <v>278</v>
      </c>
      <c r="P16" s="71" t="s">
        <v>3672</v>
      </c>
      <c r="Q16" s="72" t="s">
        <v>3595</v>
      </c>
      <c r="R16" s="73" t="s">
        <v>3596</v>
      </c>
    </row>
    <row r="17" spans="1:30">
      <c r="A17" s="59">
        <v>120</v>
      </c>
      <c r="B17" s="60" t="s">
        <v>108</v>
      </c>
      <c r="G17" s="245" t="s">
        <v>261</v>
      </c>
      <c r="H17" s="246" t="s">
        <v>262</v>
      </c>
      <c r="L17" s="69">
        <v>11121</v>
      </c>
      <c r="M17" t="s">
        <v>279</v>
      </c>
      <c r="P17" s="71" t="s">
        <v>3673</v>
      </c>
      <c r="Q17" s="72" t="s">
        <v>3598</v>
      </c>
      <c r="R17" s="73" t="s">
        <v>3599</v>
      </c>
    </row>
    <row r="18" spans="1:30">
      <c r="A18" s="62">
        <v>121</v>
      </c>
      <c r="B18" s="63" t="s">
        <v>109</v>
      </c>
      <c r="L18" s="69">
        <v>11125</v>
      </c>
      <c r="M18" t="s">
        <v>280</v>
      </c>
    </row>
    <row r="19" spans="1:30">
      <c r="A19" s="62">
        <v>122</v>
      </c>
      <c r="B19" s="63" t="s">
        <v>110</v>
      </c>
      <c r="L19" s="69">
        <v>11126</v>
      </c>
      <c r="M19" t="s">
        <v>281</v>
      </c>
    </row>
    <row r="20" spans="1:30">
      <c r="A20" s="59">
        <v>130</v>
      </c>
      <c r="B20" s="60" t="s">
        <v>111</v>
      </c>
      <c r="L20" s="69">
        <v>11127</v>
      </c>
      <c r="M20" t="s">
        <v>282</v>
      </c>
    </row>
    <row r="21" spans="1:30">
      <c r="A21" s="62">
        <v>131</v>
      </c>
      <c r="B21" s="63" t="s">
        <v>112</v>
      </c>
      <c r="L21" s="69">
        <v>11128</v>
      </c>
      <c r="M21" t="s">
        <v>283</v>
      </c>
    </row>
    <row r="22" spans="1:30">
      <c r="A22" s="62">
        <v>132</v>
      </c>
      <c r="B22" s="63" t="s">
        <v>113</v>
      </c>
      <c r="L22" s="69">
        <v>11129</v>
      </c>
      <c r="M22" t="s">
        <v>284</v>
      </c>
    </row>
    <row r="23" spans="1:30">
      <c r="A23" s="62">
        <v>133</v>
      </c>
      <c r="B23" s="63" t="s">
        <v>114</v>
      </c>
      <c r="L23" s="69">
        <v>11130</v>
      </c>
      <c r="M23" t="s">
        <v>285</v>
      </c>
      <c r="P23" s="74" t="s">
        <v>3555</v>
      </c>
      <c r="Q23" s="75" t="s">
        <v>3603</v>
      </c>
      <c r="R23" s="75" t="s">
        <v>3604</v>
      </c>
      <c r="S23" s="76"/>
      <c r="T23" s="76"/>
      <c r="U23" s="76"/>
      <c r="V23" s="76"/>
      <c r="W23" s="76"/>
      <c r="X23" s="76"/>
      <c r="Y23" s="76"/>
      <c r="Z23" s="76"/>
      <c r="AA23" s="76"/>
      <c r="AB23" s="76"/>
      <c r="AC23" s="76"/>
      <c r="AD23" s="76"/>
    </row>
    <row r="24" spans="1:30">
      <c r="A24" s="59">
        <v>140</v>
      </c>
      <c r="B24" s="60" t="s">
        <v>115</v>
      </c>
      <c r="L24" s="69">
        <v>11131</v>
      </c>
      <c r="M24" t="s">
        <v>286</v>
      </c>
      <c r="P24" s="74" t="s">
        <v>3558</v>
      </c>
      <c r="Q24" s="75" t="s">
        <v>3605</v>
      </c>
      <c r="R24" s="75" t="s">
        <v>3606</v>
      </c>
      <c r="S24" s="75" t="s">
        <v>3607</v>
      </c>
      <c r="T24" s="75" t="s">
        <v>3608</v>
      </c>
      <c r="U24" s="75" t="s">
        <v>3609</v>
      </c>
      <c r="V24" s="75" t="s">
        <v>3610</v>
      </c>
      <c r="W24" s="75" t="s">
        <v>3611</v>
      </c>
      <c r="X24" s="75" t="s">
        <v>3612</v>
      </c>
      <c r="Y24" s="75" t="s">
        <v>3613</v>
      </c>
      <c r="Z24" s="75" t="s">
        <v>3614</v>
      </c>
      <c r="AA24" s="75" t="s">
        <v>3615</v>
      </c>
      <c r="AB24" s="75" t="s">
        <v>3616</v>
      </c>
      <c r="AC24" s="75" t="s">
        <v>3617</v>
      </c>
      <c r="AD24" s="75" t="s">
        <v>3618</v>
      </c>
    </row>
    <row r="25" spans="1:30">
      <c r="A25" s="59">
        <v>150</v>
      </c>
      <c r="B25" s="60" t="s">
        <v>116</v>
      </c>
      <c r="L25" s="69">
        <v>11132</v>
      </c>
      <c r="M25" t="s">
        <v>287</v>
      </c>
      <c r="P25" s="74" t="s">
        <v>3561</v>
      </c>
      <c r="Q25" s="75" t="s">
        <v>3619</v>
      </c>
      <c r="R25" s="75" t="s">
        <v>3620</v>
      </c>
      <c r="S25" s="75" t="s">
        <v>3621</v>
      </c>
      <c r="T25" s="75" t="s">
        <v>3622</v>
      </c>
      <c r="U25" s="75" t="s">
        <v>3623</v>
      </c>
      <c r="V25" s="76"/>
      <c r="W25" s="76"/>
      <c r="X25" s="76"/>
      <c r="Y25" s="76"/>
      <c r="Z25" s="76"/>
      <c r="AA25" s="76"/>
      <c r="AB25" s="76"/>
      <c r="AC25" s="76"/>
      <c r="AD25" s="76"/>
    </row>
    <row r="26" spans="1:30">
      <c r="A26" s="59">
        <v>160</v>
      </c>
      <c r="B26" s="60" t="s">
        <v>117</v>
      </c>
      <c r="L26" s="69">
        <v>11133</v>
      </c>
      <c r="M26" t="s">
        <v>288</v>
      </c>
      <c r="P26" s="74" t="s">
        <v>3564</v>
      </c>
      <c r="Q26" s="74" t="s">
        <v>3624</v>
      </c>
      <c r="R26" s="74" t="s">
        <v>3625</v>
      </c>
      <c r="S26" s="76"/>
      <c r="T26" s="76"/>
      <c r="U26" s="76"/>
      <c r="V26" s="76"/>
      <c r="W26" s="76"/>
      <c r="X26" s="76"/>
      <c r="Y26" s="76"/>
      <c r="Z26" s="76"/>
      <c r="AA26" s="76"/>
      <c r="AB26" s="76"/>
      <c r="AC26" s="76"/>
      <c r="AD26" s="76"/>
    </row>
    <row r="27" spans="1:30">
      <c r="A27" s="59">
        <v>170</v>
      </c>
      <c r="B27" s="60" t="s">
        <v>118</v>
      </c>
      <c r="L27" s="69">
        <v>11134</v>
      </c>
      <c r="M27" t="s">
        <v>289</v>
      </c>
      <c r="P27" s="74" t="s">
        <v>3567</v>
      </c>
      <c r="Q27" s="75" t="s">
        <v>3626</v>
      </c>
      <c r="R27" s="75" t="s">
        <v>3627</v>
      </c>
      <c r="S27" s="76"/>
      <c r="T27" s="76"/>
      <c r="U27" s="76"/>
      <c r="V27" s="76"/>
      <c r="W27" s="76"/>
      <c r="X27" s="76"/>
      <c r="Y27" s="76"/>
      <c r="Z27" s="76"/>
      <c r="AA27" s="76"/>
      <c r="AB27" s="76"/>
      <c r="AC27" s="76"/>
      <c r="AD27" s="76"/>
    </row>
    <row r="28" spans="1:30">
      <c r="A28" s="59">
        <v>180</v>
      </c>
      <c r="B28" s="60" t="s">
        <v>119</v>
      </c>
      <c r="L28" s="69">
        <v>11135</v>
      </c>
      <c r="M28" t="s">
        <v>290</v>
      </c>
      <c r="P28" s="74" t="s">
        <v>3570</v>
      </c>
      <c r="Q28" s="77" t="s">
        <v>3628</v>
      </c>
      <c r="R28" s="77" t="s">
        <v>3629</v>
      </c>
      <c r="S28" s="77" t="s">
        <v>3630</v>
      </c>
      <c r="T28" s="77" t="s">
        <v>3631</v>
      </c>
      <c r="U28" s="76"/>
      <c r="V28" s="76"/>
      <c r="W28" s="76"/>
      <c r="X28" s="76"/>
      <c r="Y28" s="76"/>
      <c r="Z28" s="76"/>
      <c r="AA28" s="76"/>
      <c r="AB28" s="76"/>
      <c r="AC28" s="76"/>
      <c r="AD28" s="76"/>
    </row>
    <row r="29" spans="1:30">
      <c r="A29" s="56">
        <v>200</v>
      </c>
      <c r="B29" s="57" t="s">
        <v>120</v>
      </c>
      <c r="L29" s="69">
        <v>11136</v>
      </c>
      <c r="M29" t="s">
        <v>291</v>
      </c>
      <c r="P29" s="74" t="s">
        <v>3573</v>
      </c>
      <c r="Q29" s="77" t="s">
        <v>3632</v>
      </c>
      <c r="R29" s="77" t="s">
        <v>3633</v>
      </c>
      <c r="S29" s="76"/>
      <c r="T29" s="76"/>
      <c r="U29" s="76"/>
      <c r="V29" s="76"/>
      <c r="W29" s="76"/>
      <c r="X29" s="76"/>
      <c r="Y29" s="76"/>
      <c r="Z29" s="76"/>
      <c r="AA29" s="76"/>
      <c r="AB29" s="76"/>
      <c r="AC29" s="76"/>
      <c r="AD29" s="76"/>
    </row>
    <row r="30" spans="1:30">
      <c r="A30" s="59">
        <v>210</v>
      </c>
      <c r="B30" s="60" t="s">
        <v>121</v>
      </c>
      <c r="L30" s="69">
        <v>11137</v>
      </c>
      <c r="M30" t="s">
        <v>292</v>
      </c>
      <c r="P30" s="74" t="s">
        <v>3576</v>
      </c>
      <c r="Q30" s="77" t="s">
        <v>3634</v>
      </c>
      <c r="R30" s="76"/>
      <c r="S30" s="76"/>
      <c r="T30" s="76"/>
      <c r="U30" s="76"/>
      <c r="V30" s="76"/>
      <c r="W30" s="76"/>
      <c r="X30" s="76"/>
      <c r="Y30" s="76"/>
      <c r="Z30" s="76"/>
      <c r="AA30" s="76"/>
      <c r="AB30" s="76"/>
      <c r="AC30" s="76"/>
      <c r="AD30" s="76"/>
    </row>
    <row r="31" spans="1:30">
      <c r="A31" s="59">
        <v>220</v>
      </c>
      <c r="B31" s="60" t="s">
        <v>122</v>
      </c>
      <c r="L31" s="69">
        <v>11138</v>
      </c>
      <c r="M31" t="s">
        <v>293</v>
      </c>
      <c r="P31" s="74" t="s">
        <v>3579</v>
      </c>
      <c r="Q31" s="77" t="s">
        <v>3635</v>
      </c>
      <c r="R31" s="76"/>
      <c r="S31" s="76"/>
      <c r="T31" s="76"/>
      <c r="U31" s="76"/>
      <c r="V31" s="76"/>
      <c r="W31" s="76"/>
      <c r="X31" s="76"/>
      <c r="Y31" s="76"/>
      <c r="Z31" s="76"/>
      <c r="AA31" s="76"/>
      <c r="AB31" s="76"/>
      <c r="AC31" s="76"/>
      <c r="AD31" s="76"/>
    </row>
    <row r="32" spans="1:30">
      <c r="A32" s="59">
        <v>230</v>
      </c>
      <c r="B32" s="60" t="s">
        <v>123</v>
      </c>
      <c r="L32" s="69">
        <v>11139</v>
      </c>
      <c r="M32" t="s">
        <v>294</v>
      </c>
      <c r="P32" s="74" t="s">
        <v>3582</v>
      </c>
      <c r="Q32" s="77" t="s">
        <v>3636</v>
      </c>
      <c r="R32" s="76"/>
      <c r="S32" s="76"/>
      <c r="T32" s="76"/>
      <c r="U32" s="76"/>
      <c r="V32" s="76"/>
      <c r="W32" s="76"/>
      <c r="X32" s="76"/>
      <c r="Y32" s="76"/>
      <c r="Z32" s="76"/>
      <c r="AA32" s="76"/>
      <c r="AB32" s="76"/>
      <c r="AC32" s="76"/>
      <c r="AD32" s="76"/>
    </row>
    <row r="33" spans="1:30">
      <c r="A33" s="59">
        <v>240</v>
      </c>
      <c r="B33" s="60" t="s">
        <v>124</v>
      </c>
      <c r="L33" s="69">
        <v>11140</v>
      </c>
      <c r="M33" t="s">
        <v>295</v>
      </c>
      <c r="P33" s="74" t="s">
        <v>3585</v>
      </c>
      <c r="Q33" s="77" t="s">
        <v>3637</v>
      </c>
      <c r="R33" s="77" t="s">
        <v>3638</v>
      </c>
      <c r="S33" s="77" t="s">
        <v>3639</v>
      </c>
      <c r="T33" s="77" t="s">
        <v>3640</v>
      </c>
      <c r="U33" s="77" t="s">
        <v>3641</v>
      </c>
      <c r="V33" s="77" t="s">
        <v>3642</v>
      </c>
      <c r="W33" s="76"/>
      <c r="X33" s="76"/>
      <c r="Y33" s="76"/>
      <c r="Z33" s="76"/>
      <c r="AA33" s="76"/>
      <c r="AB33" s="76"/>
      <c r="AC33" s="76"/>
      <c r="AD33" s="76"/>
    </row>
    <row r="34" spans="1:30">
      <c r="A34" s="59">
        <v>250</v>
      </c>
      <c r="B34" s="60" t="s">
        <v>125</v>
      </c>
      <c r="L34" s="69">
        <v>11141</v>
      </c>
      <c r="M34" t="s">
        <v>296</v>
      </c>
      <c r="P34" s="74" t="s">
        <v>3588</v>
      </c>
      <c r="Q34" s="77" t="s">
        <v>3643</v>
      </c>
      <c r="R34" s="76"/>
      <c r="S34" s="76"/>
      <c r="T34" s="76"/>
      <c r="U34" s="76"/>
      <c r="V34" s="76"/>
      <c r="W34" s="76"/>
      <c r="X34" s="76"/>
      <c r="Y34" s="76"/>
      <c r="Z34" s="76"/>
      <c r="AA34" s="76"/>
      <c r="AB34" s="76"/>
      <c r="AC34" s="76"/>
      <c r="AD34" s="76"/>
    </row>
    <row r="35" spans="1:30">
      <c r="A35" s="56">
        <v>300</v>
      </c>
      <c r="B35" s="57" t="s">
        <v>126</v>
      </c>
      <c r="L35" s="69">
        <v>11142</v>
      </c>
      <c r="M35" t="s">
        <v>297</v>
      </c>
      <c r="P35" s="74" t="s">
        <v>3591</v>
      </c>
      <c r="Q35" s="75" t="s">
        <v>3644</v>
      </c>
      <c r="R35" s="75" t="s">
        <v>3645</v>
      </c>
      <c r="S35" s="76"/>
      <c r="T35" s="76"/>
      <c r="U35" s="76"/>
      <c r="V35" s="76"/>
      <c r="W35" s="76"/>
      <c r="X35" s="76"/>
      <c r="Y35" s="76"/>
      <c r="Z35" s="76"/>
      <c r="AA35" s="76"/>
      <c r="AB35" s="76"/>
      <c r="AC35" s="76"/>
      <c r="AD35" s="76"/>
    </row>
    <row r="36" spans="1:30">
      <c r="A36" s="59">
        <v>310</v>
      </c>
      <c r="B36" s="60" t="s">
        <v>127</v>
      </c>
      <c r="L36" s="69">
        <v>11143</v>
      </c>
      <c r="M36" t="s">
        <v>298</v>
      </c>
      <c r="P36" s="74" t="s">
        <v>3594</v>
      </c>
      <c r="Q36" s="75" t="s">
        <v>3646</v>
      </c>
      <c r="R36" s="75" t="s">
        <v>3647</v>
      </c>
      <c r="S36" s="75" t="s">
        <v>3648</v>
      </c>
      <c r="T36" s="76"/>
      <c r="U36" s="76"/>
      <c r="V36" s="76"/>
      <c r="W36" s="76"/>
      <c r="X36" s="76"/>
      <c r="Y36" s="76"/>
      <c r="Z36" s="76"/>
      <c r="AA36" s="76"/>
      <c r="AB36" s="76"/>
      <c r="AC36" s="76"/>
      <c r="AD36" s="76"/>
    </row>
    <row r="37" spans="1:30">
      <c r="A37" s="59">
        <v>320</v>
      </c>
      <c r="B37" s="60" t="s">
        <v>128</v>
      </c>
      <c r="L37" s="69">
        <v>11145</v>
      </c>
      <c r="M37" t="s">
        <v>299</v>
      </c>
      <c r="P37" s="74" t="s">
        <v>3597</v>
      </c>
      <c r="Q37" s="75" t="s">
        <v>3649</v>
      </c>
      <c r="R37" s="75" t="s">
        <v>3650</v>
      </c>
      <c r="S37" s="75" t="s">
        <v>3651</v>
      </c>
      <c r="T37" s="75" t="s">
        <v>3652</v>
      </c>
      <c r="U37" s="75" t="s">
        <v>3653</v>
      </c>
      <c r="V37" s="75" t="s">
        <v>3654</v>
      </c>
      <c r="W37" s="75" t="s">
        <v>3655</v>
      </c>
      <c r="X37" s="75" t="s">
        <v>3656</v>
      </c>
      <c r="Y37" s="75" t="s">
        <v>3657</v>
      </c>
      <c r="Z37" s="75" t="s">
        <v>3658</v>
      </c>
      <c r="AA37" s="76"/>
      <c r="AB37" s="76"/>
      <c r="AC37" s="76"/>
      <c r="AD37" s="76"/>
    </row>
    <row r="38" spans="1:30">
      <c r="A38" s="59">
        <v>330</v>
      </c>
      <c r="B38" s="60" t="s">
        <v>129</v>
      </c>
      <c r="L38" s="69">
        <v>11146</v>
      </c>
      <c r="M38" t="s">
        <v>300</v>
      </c>
    </row>
    <row r="39" spans="1:30">
      <c r="A39" s="59">
        <v>350</v>
      </c>
      <c r="B39" s="60" t="s">
        <v>130</v>
      </c>
      <c r="L39" s="69">
        <v>11147</v>
      </c>
      <c r="M39" t="s">
        <v>301</v>
      </c>
    </row>
    <row r="40" spans="1:30">
      <c r="A40" s="59">
        <v>360</v>
      </c>
      <c r="B40" s="60" t="s">
        <v>131</v>
      </c>
      <c r="L40" s="69">
        <v>11148</v>
      </c>
      <c r="M40" t="s">
        <v>302</v>
      </c>
    </row>
    <row r="41" spans="1:30">
      <c r="A41" s="56">
        <v>400</v>
      </c>
      <c r="B41" s="57" t="s">
        <v>132</v>
      </c>
      <c r="L41" s="69">
        <v>11149</v>
      </c>
      <c r="M41" t="s">
        <v>303</v>
      </c>
    </row>
    <row r="42" spans="1:30">
      <c r="A42" s="59">
        <v>410</v>
      </c>
      <c r="B42" s="60" t="s">
        <v>133</v>
      </c>
      <c r="L42" s="69">
        <v>11150</v>
      </c>
      <c r="M42" t="s">
        <v>304</v>
      </c>
    </row>
    <row r="43" spans="1:30">
      <c r="A43" s="62">
        <v>411</v>
      </c>
      <c r="B43" s="63" t="s">
        <v>134</v>
      </c>
      <c r="L43" s="69">
        <v>11151</v>
      </c>
      <c r="M43" t="s">
        <v>305</v>
      </c>
    </row>
    <row r="44" spans="1:30">
      <c r="A44" s="62">
        <v>412</v>
      </c>
      <c r="B44" s="63" t="s">
        <v>135</v>
      </c>
      <c r="L44" s="69">
        <v>11152</v>
      </c>
      <c r="M44" t="s">
        <v>306</v>
      </c>
    </row>
    <row r="45" spans="1:30">
      <c r="A45" s="59">
        <v>420</v>
      </c>
      <c r="B45" s="60" t="s">
        <v>136</v>
      </c>
      <c r="L45" s="69">
        <v>11153</v>
      </c>
      <c r="M45" t="s">
        <v>307</v>
      </c>
    </row>
    <row r="46" spans="1:30">
      <c r="A46" s="62">
        <v>421</v>
      </c>
      <c r="B46" s="63" t="s">
        <v>137</v>
      </c>
      <c r="L46" s="69">
        <v>11154</v>
      </c>
      <c r="M46" t="s">
        <v>308</v>
      </c>
    </row>
    <row r="47" spans="1:30">
      <c r="A47" s="62">
        <v>422</v>
      </c>
      <c r="B47" s="63" t="s">
        <v>138</v>
      </c>
      <c r="L47" s="69">
        <v>11155</v>
      </c>
      <c r="M47" t="s">
        <v>309</v>
      </c>
    </row>
    <row r="48" spans="1:30">
      <c r="A48" s="62">
        <v>423</v>
      </c>
      <c r="B48" s="63" t="s">
        <v>139</v>
      </c>
      <c r="L48" s="69">
        <v>11156</v>
      </c>
      <c r="M48" t="s">
        <v>310</v>
      </c>
    </row>
    <row r="49" spans="1:13">
      <c r="A49" s="59">
        <v>430</v>
      </c>
      <c r="B49" s="60" t="s">
        <v>140</v>
      </c>
      <c r="L49" s="69">
        <v>11157</v>
      </c>
      <c r="M49" t="s">
        <v>311</v>
      </c>
    </row>
    <row r="50" spans="1:13">
      <c r="A50" s="62">
        <v>431</v>
      </c>
      <c r="B50" s="63" t="s">
        <v>141</v>
      </c>
      <c r="L50" s="69">
        <v>11158</v>
      </c>
      <c r="M50" t="s">
        <v>312</v>
      </c>
    </row>
    <row r="51" spans="1:13">
      <c r="A51" s="62">
        <v>432</v>
      </c>
      <c r="B51" s="63" t="s">
        <v>142</v>
      </c>
      <c r="L51" s="69">
        <v>11159</v>
      </c>
      <c r="M51" t="s">
        <v>313</v>
      </c>
    </row>
    <row r="52" spans="1:13">
      <c r="A52" s="62">
        <v>433</v>
      </c>
      <c r="B52" s="63" t="s">
        <v>143</v>
      </c>
      <c r="L52" s="69">
        <v>11190</v>
      </c>
      <c r="M52" t="s">
        <v>314</v>
      </c>
    </row>
    <row r="53" spans="1:13">
      <c r="A53" s="62">
        <v>434</v>
      </c>
      <c r="B53" s="63" t="s">
        <v>144</v>
      </c>
      <c r="L53" s="69">
        <v>11191</v>
      </c>
      <c r="M53" t="s">
        <v>315</v>
      </c>
    </row>
    <row r="54" spans="1:13">
      <c r="A54" s="62">
        <v>435</v>
      </c>
      <c r="B54" s="63" t="s">
        <v>145</v>
      </c>
      <c r="L54" s="69">
        <v>11192</v>
      </c>
      <c r="M54" t="s">
        <v>316</v>
      </c>
    </row>
    <row r="55" spans="1:13">
      <c r="A55" s="62">
        <v>436</v>
      </c>
      <c r="B55" s="63" t="s">
        <v>146</v>
      </c>
      <c r="L55" s="69">
        <v>11193</v>
      </c>
      <c r="M55" t="s">
        <v>317</v>
      </c>
    </row>
    <row r="56" spans="1:13">
      <c r="A56" s="59">
        <v>440</v>
      </c>
      <c r="B56" s="60" t="s">
        <v>147</v>
      </c>
      <c r="L56" s="69">
        <v>11194</v>
      </c>
      <c r="M56" t="s">
        <v>318</v>
      </c>
    </row>
    <row r="57" spans="1:13">
      <c r="A57" s="62">
        <v>441</v>
      </c>
      <c r="B57" s="63" t="s">
        <v>148</v>
      </c>
      <c r="L57" s="69">
        <v>11195</v>
      </c>
      <c r="M57" t="s">
        <v>319</v>
      </c>
    </row>
    <row r="58" spans="1:13">
      <c r="A58" s="62">
        <v>442</v>
      </c>
      <c r="B58" s="63" t="s">
        <v>149</v>
      </c>
      <c r="L58" s="69">
        <v>11196</v>
      </c>
      <c r="M58" t="s">
        <v>320</v>
      </c>
    </row>
    <row r="59" spans="1:13">
      <c r="A59" s="62">
        <v>443</v>
      </c>
      <c r="B59" s="63" t="s">
        <v>150</v>
      </c>
      <c r="L59" s="69">
        <v>11197</v>
      </c>
      <c r="M59" t="s">
        <v>321</v>
      </c>
    </row>
    <row r="60" spans="1:13">
      <c r="A60" s="59">
        <v>450</v>
      </c>
      <c r="B60" s="60" t="s">
        <v>151</v>
      </c>
      <c r="L60" s="69">
        <v>11198</v>
      </c>
      <c r="M60" t="s">
        <v>322</v>
      </c>
    </row>
    <row r="61" spans="1:13">
      <c r="A61" s="62">
        <v>451</v>
      </c>
      <c r="B61" s="63" t="s">
        <v>152</v>
      </c>
      <c r="L61" s="69">
        <v>11199</v>
      </c>
      <c r="M61" t="s">
        <v>323</v>
      </c>
    </row>
    <row r="62" spans="1:13">
      <c r="A62" s="62">
        <v>452</v>
      </c>
      <c r="B62" s="63" t="s">
        <v>153</v>
      </c>
      <c r="L62" s="69">
        <v>11200</v>
      </c>
      <c r="M62" t="s">
        <v>324</v>
      </c>
    </row>
    <row r="63" spans="1:13">
      <c r="A63" s="62">
        <v>453</v>
      </c>
      <c r="B63" s="63" t="s">
        <v>154</v>
      </c>
      <c r="L63" s="69">
        <v>11210</v>
      </c>
      <c r="M63" t="s">
        <v>325</v>
      </c>
    </row>
    <row r="64" spans="1:13">
      <c r="A64" s="62">
        <v>454</v>
      </c>
      <c r="B64" s="63" t="s">
        <v>155</v>
      </c>
      <c r="L64" s="69">
        <v>11211</v>
      </c>
      <c r="M64" t="s">
        <v>326</v>
      </c>
    </row>
    <row r="65" spans="1:13">
      <c r="A65" s="62">
        <v>455</v>
      </c>
      <c r="B65" s="63" t="s">
        <v>156</v>
      </c>
      <c r="L65" s="69">
        <v>11212</v>
      </c>
      <c r="M65" t="s">
        <v>327</v>
      </c>
    </row>
    <row r="66" spans="1:13">
      <c r="A66" s="59">
        <v>460</v>
      </c>
      <c r="B66" s="60" t="s">
        <v>157</v>
      </c>
      <c r="L66" s="69">
        <v>11213</v>
      </c>
      <c r="M66" t="s">
        <v>328</v>
      </c>
    </row>
    <row r="67" spans="1:13">
      <c r="A67" s="59">
        <v>470</v>
      </c>
      <c r="B67" s="60" t="s">
        <v>158</v>
      </c>
      <c r="L67" s="69">
        <v>11215</v>
      </c>
      <c r="M67" t="s">
        <v>329</v>
      </c>
    </row>
    <row r="68" spans="1:13">
      <c r="A68" s="62">
        <v>471</v>
      </c>
      <c r="B68" s="63" t="s">
        <v>159</v>
      </c>
      <c r="L68" s="69">
        <v>11216</v>
      </c>
      <c r="M68" t="s">
        <v>330</v>
      </c>
    </row>
    <row r="69" spans="1:13">
      <c r="A69" s="62">
        <v>472</v>
      </c>
      <c r="B69" s="63" t="s">
        <v>160</v>
      </c>
      <c r="L69" s="69">
        <v>11217</v>
      </c>
      <c r="M69" t="s">
        <v>331</v>
      </c>
    </row>
    <row r="70" spans="1:13">
      <c r="A70" s="62">
        <v>473</v>
      </c>
      <c r="B70" s="63" t="s">
        <v>161</v>
      </c>
      <c r="L70" s="69">
        <v>11218</v>
      </c>
      <c r="M70" t="s">
        <v>332</v>
      </c>
    </row>
    <row r="71" spans="1:13">
      <c r="A71" s="62">
        <v>474</v>
      </c>
      <c r="B71" s="63" t="s">
        <v>162</v>
      </c>
      <c r="L71" s="69">
        <v>11219</v>
      </c>
      <c r="M71" t="s">
        <v>333</v>
      </c>
    </row>
    <row r="72" spans="1:13">
      <c r="A72" s="59">
        <v>480</v>
      </c>
      <c r="B72" s="60" t="s">
        <v>163</v>
      </c>
      <c r="L72" s="69">
        <v>11220</v>
      </c>
      <c r="M72" t="s">
        <v>334</v>
      </c>
    </row>
    <row r="73" spans="1:13">
      <c r="A73" s="62">
        <v>481</v>
      </c>
      <c r="B73" s="63" t="s">
        <v>164</v>
      </c>
      <c r="L73" s="69">
        <v>11221</v>
      </c>
      <c r="M73" t="s">
        <v>335</v>
      </c>
    </row>
    <row r="74" spans="1:13">
      <c r="A74" s="62">
        <v>482</v>
      </c>
      <c r="B74" s="63" t="s">
        <v>165</v>
      </c>
      <c r="L74" s="69">
        <v>11222</v>
      </c>
      <c r="M74" t="s">
        <v>336</v>
      </c>
    </row>
    <row r="75" spans="1:13">
      <c r="A75" s="62">
        <v>483</v>
      </c>
      <c r="B75" s="63" t="s">
        <v>166</v>
      </c>
      <c r="L75" s="69">
        <v>11223</v>
      </c>
      <c r="M75" t="s">
        <v>337</v>
      </c>
    </row>
    <row r="76" spans="1:13">
      <c r="A76" s="62">
        <v>484</v>
      </c>
      <c r="B76" s="63" t="s">
        <v>167</v>
      </c>
      <c r="L76" s="69">
        <v>11224</v>
      </c>
      <c r="M76" t="s">
        <v>338</v>
      </c>
    </row>
    <row r="77" spans="1:13">
      <c r="A77" s="62">
        <v>485</v>
      </c>
      <c r="B77" s="63" t="s">
        <v>168</v>
      </c>
      <c r="L77" s="69">
        <v>11225</v>
      </c>
      <c r="M77" t="s">
        <v>339</v>
      </c>
    </row>
    <row r="78" spans="1:13">
      <c r="A78" s="62">
        <v>486</v>
      </c>
      <c r="B78" s="63" t="s">
        <v>169</v>
      </c>
      <c r="L78" s="69">
        <v>11226</v>
      </c>
      <c r="M78" t="s">
        <v>340</v>
      </c>
    </row>
    <row r="79" spans="1:13">
      <c r="A79" s="62">
        <v>487</v>
      </c>
      <c r="B79" s="63" t="s">
        <v>170</v>
      </c>
      <c r="L79" s="69">
        <v>11227</v>
      </c>
      <c r="M79" t="s">
        <v>341</v>
      </c>
    </row>
    <row r="80" spans="1:13">
      <c r="A80" s="59">
        <v>490</v>
      </c>
      <c r="B80" s="60" t="s">
        <v>171</v>
      </c>
      <c r="L80" s="69">
        <v>11228</v>
      </c>
      <c r="M80" t="s">
        <v>342</v>
      </c>
    </row>
    <row r="81" spans="1:13">
      <c r="A81" s="56">
        <v>500</v>
      </c>
      <c r="B81" s="57" t="s">
        <v>172</v>
      </c>
      <c r="L81" s="69">
        <v>11229</v>
      </c>
      <c r="M81" t="s">
        <v>343</v>
      </c>
    </row>
    <row r="82" spans="1:13">
      <c r="A82" s="59">
        <v>510</v>
      </c>
      <c r="B82" s="60" t="s">
        <v>173</v>
      </c>
      <c r="L82" s="69">
        <v>11230</v>
      </c>
      <c r="M82" t="s">
        <v>344</v>
      </c>
    </row>
    <row r="83" spans="1:13">
      <c r="A83" s="59">
        <v>520</v>
      </c>
      <c r="B83" s="60" t="s">
        <v>174</v>
      </c>
      <c r="L83" s="69">
        <v>11231</v>
      </c>
      <c r="M83" t="s">
        <v>344</v>
      </c>
    </row>
    <row r="84" spans="1:13">
      <c r="A84" s="59">
        <v>530</v>
      </c>
      <c r="B84" s="60" t="s">
        <v>175</v>
      </c>
      <c r="L84" s="69">
        <v>11236</v>
      </c>
      <c r="M84" t="s">
        <v>345</v>
      </c>
    </row>
    <row r="85" spans="1:13">
      <c r="A85" s="59">
        <v>540</v>
      </c>
      <c r="B85" s="60" t="s">
        <v>176</v>
      </c>
      <c r="L85" s="69">
        <v>11237</v>
      </c>
      <c r="M85" t="s">
        <v>346</v>
      </c>
    </row>
    <row r="86" spans="1:13">
      <c r="A86" s="59">
        <v>550</v>
      </c>
      <c r="B86" s="60" t="s">
        <v>177</v>
      </c>
      <c r="L86" s="69">
        <v>11238</v>
      </c>
      <c r="M86" t="s">
        <v>347</v>
      </c>
    </row>
    <row r="87" spans="1:13">
      <c r="A87" s="59">
        <v>560</v>
      </c>
      <c r="B87" s="60" t="s">
        <v>178</v>
      </c>
      <c r="L87" s="69">
        <v>11239</v>
      </c>
      <c r="M87" t="s">
        <v>348</v>
      </c>
    </row>
    <row r="88" spans="1:13">
      <c r="A88" s="56">
        <v>600</v>
      </c>
      <c r="B88" s="57" t="s">
        <v>179</v>
      </c>
      <c r="L88" s="69">
        <v>11240</v>
      </c>
      <c r="M88" t="s">
        <v>349</v>
      </c>
    </row>
    <row r="89" spans="1:13">
      <c r="A89" s="59">
        <v>610</v>
      </c>
      <c r="B89" s="60" t="s">
        <v>180</v>
      </c>
      <c r="L89" s="69">
        <v>11241</v>
      </c>
      <c r="M89" t="s">
        <v>349</v>
      </c>
    </row>
    <row r="90" spans="1:13">
      <c r="A90" s="59">
        <v>620</v>
      </c>
      <c r="B90" s="60" t="s">
        <v>181</v>
      </c>
      <c r="L90" s="69">
        <v>11246</v>
      </c>
      <c r="M90" t="s">
        <v>350</v>
      </c>
    </row>
    <row r="91" spans="1:13">
      <c r="A91" s="59">
        <v>630</v>
      </c>
      <c r="B91" s="60" t="s">
        <v>182</v>
      </c>
      <c r="L91" s="69">
        <v>11247</v>
      </c>
      <c r="M91" t="s">
        <v>351</v>
      </c>
    </row>
    <row r="92" spans="1:13">
      <c r="A92" s="59">
        <v>640</v>
      </c>
      <c r="B92" s="60" t="s">
        <v>183</v>
      </c>
      <c r="L92" s="69">
        <v>11248</v>
      </c>
      <c r="M92" t="s">
        <v>352</v>
      </c>
    </row>
    <row r="93" spans="1:13">
      <c r="A93" s="59">
        <v>650</v>
      </c>
      <c r="B93" s="60" t="s">
        <v>184</v>
      </c>
      <c r="L93" s="69">
        <v>11249</v>
      </c>
      <c r="M93" t="s">
        <v>353</v>
      </c>
    </row>
    <row r="94" spans="1:13">
      <c r="A94" s="59">
        <v>660</v>
      </c>
      <c r="B94" s="60" t="s">
        <v>185</v>
      </c>
      <c r="L94" s="69">
        <v>11250</v>
      </c>
      <c r="M94" t="s">
        <v>354</v>
      </c>
    </row>
    <row r="95" spans="1:13">
      <c r="A95" s="56">
        <v>700</v>
      </c>
      <c r="B95" s="57" t="s">
        <v>186</v>
      </c>
      <c r="L95" s="69">
        <v>11251</v>
      </c>
      <c r="M95" t="s">
        <v>355</v>
      </c>
    </row>
    <row r="96" spans="1:13">
      <c r="A96" s="59">
        <v>710</v>
      </c>
      <c r="B96" s="60" t="s">
        <v>187</v>
      </c>
      <c r="L96" s="69">
        <v>11252</v>
      </c>
      <c r="M96" t="s">
        <v>356</v>
      </c>
    </row>
    <row r="97" spans="1:13">
      <c r="A97" s="62">
        <v>711</v>
      </c>
      <c r="B97" s="63" t="s">
        <v>188</v>
      </c>
      <c r="L97" s="69">
        <v>11253</v>
      </c>
      <c r="M97" t="s">
        <v>357</v>
      </c>
    </row>
    <row r="98" spans="1:13">
      <c r="A98" s="62">
        <v>712</v>
      </c>
      <c r="B98" s="63" t="s">
        <v>189</v>
      </c>
      <c r="L98" s="69">
        <v>11255</v>
      </c>
      <c r="M98" t="s">
        <v>358</v>
      </c>
    </row>
    <row r="99" spans="1:13">
      <c r="A99" s="62">
        <v>713</v>
      </c>
      <c r="B99" s="63" t="s">
        <v>190</v>
      </c>
      <c r="L99" s="69">
        <v>11256</v>
      </c>
      <c r="M99" t="s">
        <v>359</v>
      </c>
    </row>
    <row r="100" spans="1:13">
      <c r="A100" s="59">
        <v>720</v>
      </c>
      <c r="B100" s="60" t="s">
        <v>191</v>
      </c>
      <c r="L100" s="69">
        <v>11257</v>
      </c>
      <c r="M100" t="s">
        <v>360</v>
      </c>
    </row>
    <row r="101" spans="1:13">
      <c r="A101" s="62">
        <v>721</v>
      </c>
      <c r="B101" s="63" t="s">
        <v>192</v>
      </c>
      <c r="L101" s="69">
        <v>11258</v>
      </c>
      <c r="M101" t="s">
        <v>361</v>
      </c>
    </row>
    <row r="102" spans="1:13">
      <c r="A102" s="62">
        <v>722</v>
      </c>
      <c r="B102" s="63" t="s">
        <v>193</v>
      </c>
      <c r="L102" s="69">
        <v>11259</v>
      </c>
      <c r="M102" t="s">
        <v>362</v>
      </c>
    </row>
    <row r="103" spans="1:13">
      <c r="A103" s="62">
        <v>723</v>
      </c>
      <c r="B103" s="63" t="s">
        <v>194</v>
      </c>
      <c r="L103" s="69">
        <v>11260</v>
      </c>
      <c r="M103" t="s">
        <v>363</v>
      </c>
    </row>
    <row r="104" spans="1:13">
      <c r="A104" s="62">
        <v>724</v>
      </c>
      <c r="B104" s="63" t="s">
        <v>195</v>
      </c>
      <c r="L104" s="69">
        <v>11261</v>
      </c>
      <c r="M104" t="s">
        <v>364</v>
      </c>
    </row>
    <row r="105" spans="1:13">
      <c r="A105" s="59">
        <v>730</v>
      </c>
      <c r="B105" s="60" t="s">
        <v>196</v>
      </c>
      <c r="L105" s="69">
        <v>11262</v>
      </c>
      <c r="M105" t="s">
        <v>365</v>
      </c>
    </row>
    <row r="106" spans="1:13">
      <c r="A106" s="62">
        <v>731</v>
      </c>
      <c r="B106" s="63" t="s">
        <v>197</v>
      </c>
      <c r="L106" s="69">
        <v>11263</v>
      </c>
      <c r="M106" t="s">
        <v>366</v>
      </c>
    </row>
    <row r="107" spans="1:13">
      <c r="A107" s="62">
        <v>732</v>
      </c>
      <c r="B107" s="63" t="s">
        <v>198</v>
      </c>
      <c r="L107" s="69">
        <v>11264</v>
      </c>
      <c r="M107" t="s">
        <v>367</v>
      </c>
    </row>
    <row r="108" spans="1:13">
      <c r="A108" s="62">
        <v>733</v>
      </c>
      <c r="B108" s="63" t="s">
        <v>199</v>
      </c>
      <c r="L108" s="69">
        <v>11266</v>
      </c>
      <c r="M108" t="s">
        <v>368</v>
      </c>
    </row>
    <row r="109" spans="1:13">
      <c r="A109" s="62">
        <v>734</v>
      </c>
      <c r="B109" s="63" t="s">
        <v>200</v>
      </c>
      <c r="L109" s="69">
        <v>11267</v>
      </c>
      <c r="M109" t="s">
        <v>369</v>
      </c>
    </row>
    <row r="110" spans="1:13">
      <c r="A110" s="59">
        <v>740</v>
      </c>
      <c r="B110" s="60" t="s">
        <v>201</v>
      </c>
      <c r="L110" s="69">
        <v>11268</v>
      </c>
      <c r="M110" t="s">
        <v>370</v>
      </c>
    </row>
    <row r="111" spans="1:13">
      <c r="A111" s="59">
        <v>750</v>
      </c>
      <c r="B111" s="60" t="s">
        <v>202</v>
      </c>
      <c r="L111" s="69">
        <v>11269</v>
      </c>
      <c r="M111" t="s">
        <v>371</v>
      </c>
    </row>
    <row r="112" spans="1:13">
      <c r="A112" s="59">
        <v>760</v>
      </c>
      <c r="B112" s="60" t="s">
        <v>203</v>
      </c>
      <c r="L112" s="69">
        <v>11270</v>
      </c>
      <c r="M112" t="s">
        <v>372</v>
      </c>
    </row>
    <row r="113" spans="1:13">
      <c r="A113" s="56">
        <v>800</v>
      </c>
      <c r="B113" s="57" t="s">
        <v>204</v>
      </c>
      <c r="L113" s="69">
        <v>11271</v>
      </c>
      <c r="M113" t="s">
        <v>372</v>
      </c>
    </row>
    <row r="114" spans="1:13">
      <c r="A114" s="59">
        <v>810</v>
      </c>
      <c r="B114" s="60" t="s">
        <v>205</v>
      </c>
      <c r="L114" s="69">
        <v>11276</v>
      </c>
      <c r="M114" t="s">
        <v>373</v>
      </c>
    </row>
    <row r="115" spans="1:13">
      <c r="A115" s="59">
        <v>820</v>
      </c>
      <c r="B115" s="60" t="s">
        <v>206</v>
      </c>
      <c r="L115" s="69">
        <v>11277</v>
      </c>
      <c r="M115" t="s">
        <v>374</v>
      </c>
    </row>
    <row r="116" spans="1:13">
      <c r="A116" s="59">
        <v>830</v>
      </c>
      <c r="B116" s="60" t="s">
        <v>207</v>
      </c>
      <c r="L116" s="69">
        <v>11278</v>
      </c>
      <c r="M116" t="s">
        <v>375</v>
      </c>
    </row>
    <row r="117" spans="1:13">
      <c r="A117" s="59">
        <v>840</v>
      </c>
      <c r="B117" s="60" t="s">
        <v>208</v>
      </c>
      <c r="L117" s="69">
        <v>11279</v>
      </c>
      <c r="M117" t="s">
        <v>376</v>
      </c>
    </row>
    <row r="118" spans="1:13">
      <c r="A118" s="59">
        <v>850</v>
      </c>
      <c r="B118" s="60" t="s">
        <v>209</v>
      </c>
      <c r="L118" s="69">
        <v>11280</v>
      </c>
      <c r="M118" t="s">
        <v>377</v>
      </c>
    </row>
    <row r="119" spans="1:13">
      <c r="A119" s="59">
        <v>860</v>
      </c>
      <c r="B119" s="60" t="s">
        <v>210</v>
      </c>
      <c r="L119" s="69">
        <v>11281</v>
      </c>
      <c r="M119" t="s">
        <v>377</v>
      </c>
    </row>
    <row r="120" spans="1:13">
      <c r="A120" s="56">
        <v>900</v>
      </c>
      <c r="B120" s="57" t="s">
        <v>211</v>
      </c>
      <c r="L120" s="69">
        <v>11286</v>
      </c>
      <c r="M120" t="s">
        <v>378</v>
      </c>
    </row>
    <row r="121" spans="1:13">
      <c r="A121" s="59">
        <v>910</v>
      </c>
      <c r="B121" s="60" t="s">
        <v>212</v>
      </c>
      <c r="L121" s="69">
        <v>11287</v>
      </c>
      <c r="M121" t="s">
        <v>379</v>
      </c>
    </row>
    <row r="122" spans="1:13">
      <c r="A122" s="62">
        <v>911</v>
      </c>
      <c r="B122" s="63" t="s">
        <v>213</v>
      </c>
      <c r="L122" s="69">
        <v>11288</v>
      </c>
      <c r="M122" t="s">
        <v>380</v>
      </c>
    </row>
    <row r="123" spans="1:13">
      <c r="A123" s="62">
        <v>912</v>
      </c>
      <c r="B123" s="63" t="s">
        <v>214</v>
      </c>
      <c r="L123" s="69">
        <v>11289</v>
      </c>
      <c r="M123" t="s">
        <v>381</v>
      </c>
    </row>
    <row r="124" spans="1:13">
      <c r="A124" s="62">
        <v>913</v>
      </c>
      <c r="B124" s="63" t="s">
        <v>215</v>
      </c>
      <c r="L124" s="69">
        <v>11290</v>
      </c>
      <c r="M124" t="s">
        <v>382</v>
      </c>
    </row>
    <row r="125" spans="1:13">
      <c r="A125" s="62">
        <v>914</v>
      </c>
      <c r="B125" s="63" t="s">
        <v>216</v>
      </c>
      <c r="L125" s="69">
        <v>11291</v>
      </c>
      <c r="M125" t="s">
        <v>383</v>
      </c>
    </row>
    <row r="126" spans="1:13">
      <c r="A126" s="62">
        <v>915</v>
      </c>
      <c r="B126" s="63" t="s">
        <v>217</v>
      </c>
      <c r="L126" s="69">
        <v>11292</v>
      </c>
      <c r="M126" t="s">
        <v>384</v>
      </c>
    </row>
    <row r="127" spans="1:13">
      <c r="A127" s="62">
        <v>916</v>
      </c>
      <c r="B127" s="63" t="s">
        <v>218</v>
      </c>
      <c r="L127" s="69">
        <v>11293</v>
      </c>
      <c r="M127" t="s">
        <v>385</v>
      </c>
    </row>
    <row r="128" spans="1:13">
      <c r="A128" s="59">
        <v>920</v>
      </c>
      <c r="B128" s="60" t="s">
        <v>219</v>
      </c>
      <c r="L128" s="69">
        <v>11294</v>
      </c>
      <c r="M128" t="s">
        <v>386</v>
      </c>
    </row>
    <row r="129" spans="1:13">
      <c r="A129" s="62">
        <v>921</v>
      </c>
      <c r="B129" s="63" t="s">
        <v>220</v>
      </c>
      <c r="L129" s="69">
        <v>11296</v>
      </c>
      <c r="M129" t="s">
        <v>387</v>
      </c>
    </row>
    <row r="130" spans="1:13">
      <c r="A130" s="62">
        <v>922</v>
      </c>
      <c r="B130" s="63" t="s">
        <v>221</v>
      </c>
      <c r="L130" s="69">
        <v>11297</v>
      </c>
      <c r="M130" t="s">
        <v>388</v>
      </c>
    </row>
    <row r="131" spans="1:13">
      <c r="A131" s="62">
        <v>923</v>
      </c>
      <c r="B131" s="63" t="s">
        <v>222</v>
      </c>
      <c r="L131" s="69">
        <v>11298</v>
      </c>
      <c r="M131" t="s">
        <v>389</v>
      </c>
    </row>
    <row r="132" spans="1:13">
      <c r="A132" s="59">
        <v>930</v>
      </c>
      <c r="B132" s="60" t="s">
        <v>223</v>
      </c>
      <c r="L132" s="69">
        <v>11299</v>
      </c>
      <c r="M132" t="s">
        <v>390</v>
      </c>
    </row>
    <row r="133" spans="1:13">
      <c r="A133" s="62">
        <v>931</v>
      </c>
      <c r="B133" s="63" t="s">
        <v>223</v>
      </c>
      <c r="L133" s="69">
        <v>11300</v>
      </c>
      <c r="M133" t="s">
        <v>391</v>
      </c>
    </row>
    <row r="134" spans="1:13">
      <c r="A134" s="62">
        <v>932</v>
      </c>
      <c r="B134" s="63" t="s">
        <v>224</v>
      </c>
      <c r="L134" s="69">
        <v>11310</v>
      </c>
      <c r="M134" t="s">
        <v>391</v>
      </c>
    </row>
    <row r="135" spans="1:13">
      <c r="A135" s="59">
        <v>940</v>
      </c>
      <c r="B135" s="60" t="s">
        <v>225</v>
      </c>
      <c r="L135" s="69">
        <v>11311</v>
      </c>
      <c r="M135" t="s">
        <v>391</v>
      </c>
    </row>
    <row r="136" spans="1:13">
      <c r="A136" s="62">
        <v>941</v>
      </c>
      <c r="B136" s="63" t="s">
        <v>226</v>
      </c>
      <c r="L136" s="69">
        <v>11316</v>
      </c>
      <c r="M136" t="s">
        <v>392</v>
      </c>
    </row>
    <row r="137" spans="1:13">
      <c r="A137" s="62">
        <v>942</v>
      </c>
      <c r="B137" s="63" t="s">
        <v>227</v>
      </c>
      <c r="L137" s="69">
        <v>11317</v>
      </c>
      <c r="M137" t="s">
        <v>393</v>
      </c>
    </row>
    <row r="138" spans="1:13">
      <c r="A138" s="59">
        <v>950</v>
      </c>
      <c r="B138" s="60" t="s">
        <v>228</v>
      </c>
      <c r="L138" s="69">
        <v>11318</v>
      </c>
      <c r="M138" t="s">
        <v>394</v>
      </c>
    </row>
    <row r="139" spans="1:13">
      <c r="A139" s="59">
        <v>960</v>
      </c>
      <c r="B139" s="60" t="s">
        <v>229</v>
      </c>
      <c r="L139" s="69">
        <v>11319</v>
      </c>
      <c r="M139" t="s">
        <v>395</v>
      </c>
    </row>
    <row r="140" spans="1:13">
      <c r="A140" s="59">
        <v>970</v>
      </c>
      <c r="B140" s="60" t="s">
        <v>230</v>
      </c>
      <c r="L140" s="69">
        <v>12000</v>
      </c>
      <c r="M140" t="s">
        <v>396</v>
      </c>
    </row>
    <row r="141" spans="1:13">
      <c r="A141" s="59">
        <v>980</v>
      </c>
      <c r="B141" s="60" t="s">
        <v>231</v>
      </c>
      <c r="L141" s="69">
        <v>12100</v>
      </c>
      <c r="M141" t="s">
        <v>396</v>
      </c>
    </row>
    <row r="142" spans="1:13">
      <c r="L142" s="69">
        <v>12110</v>
      </c>
      <c r="M142" t="s">
        <v>396</v>
      </c>
    </row>
    <row r="143" spans="1:13">
      <c r="L143" s="69">
        <v>12111</v>
      </c>
      <c r="M143" t="s">
        <v>397</v>
      </c>
    </row>
    <row r="144" spans="1:13">
      <c r="L144" s="69">
        <v>12112</v>
      </c>
      <c r="M144" t="s">
        <v>398</v>
      </c>
    </row>
    <row r="145" spans="12:13">
      <c r="L145" s="69">
        <v>12117</v>
      </c>
      <c r="M145" t="s">
        <v>399</v>
      </c>
    </row>
    <row r="146" spans="12:13">
      <c r="L146" s="69">
        <v>12118</v>
      </c>
      <c r="M146" t="s">
        <v>400</v>
      </c>
    </row>
    <row r="147" spans="12:13">
      <c r="L147" s="69">
        <v>12119</v>
      </c>
      <c r="M147" t="s">
        <v>401</v>
      </c>
    </row>
    <row r="148" spans="12:13">
      <c r="L148" s="69">
        <v>13000</v>
      </c>
      <c r="M148" t="s">
        <v>402</v>
      </c>
    </row>
    <row r="149" spans="12:13">
      <c r="L149" s="69">
        <v>13100</v>
      </c>
      <c r="M149" t="s">
        <v>402</v>
      </c>
    </row>
    <row r="150" spans="12:13">
      <c r="L150" s="69">
        <v>13110</v>
      </c>
      <c r="M150" t="s">
        <v>402</v>
      </c>
    </row>
    <row r="151" spans="12:13">
      <c r="L151" s="69">
        <v>13111</v>
      </c>
      <c r="M151" t="s">
        <v>403</v>
      </c>
    </row>
    <row r="152" spans="12:13">
      <c r="L152" s="69">
        <v>13112</v>
      </c>
      <c r="M152" t="s">
        <v>404</v>
      </c>
    </row>
    <row r="153" spans="12:13">
      <c r="L153" s="69">
        <v>13113</v>
      </c>
      <c r="M153" t="s">
        <v>405</v>
      </c>
    </row>
    <row r="154" spans="12:13">
      <c r="L154" s="69">
        <v>13114</v>
      </c>
      <c r="M154" t="s">
        <v>406</v>
      </c>
    </row>
    <row r="155" spans="12:13">
      <c r="L155" s="69">
        <v>13115</v>
      </c>
      <c r="M155" t="s">
        <v>407</v>
      </c>
    </row>
    <row r="156" spans="12:13">
      <c r="L156" s="69">
        <v>13117</v>
      </c>
      <c r="M156" t="s">
        <v>408</v>
      </c>
    </row>
    <row r="157" spans="12:13">
      <c r="L157" s="69">
        <v>13118</v>
      </c>
      <c r="M157" t="s">
        <v>409</v>
      </c>
    </row>
    <row r="158" spans="12:13">
      <c r="L158" s="69">
        <v>13119</v>
      </c>
      <c r="M158" t="s">
        <v>410</v>
      </c>
    </row>
    <row r="159" spans="12:13">
      <c r="L159" s="69">
        <v>14000</v>
      </c>
      <c r="M159" t="s">
        <v>411</v>
      </c>
    </row>
    <row r="160" spans="12:13">
      <c r="L160" s="69">
        <v>14100</v>
      </c>
      <c r="M160" t="s">
        <v>412</v>
      </c>
    </row>
    <row r="161" spans="12:13">
      <c r="L161" s="69">
        <v>14110</v>
      </c>
      <c r="M161" t="s">
        <v>412</v>
      </c>
    </row>
    <row r="162" spans="12:13">
      <c r="L162" s="69">
        <v>14111</v>
      </c>
      <c r="M162" t="s">
        <v>413</v>
      </c>
    </row>
    <row r="163" spans="12:13">
      <c r="L163" s="69">
        <v>14112</v>
      </c>
      <c r="M163" t="s">
        <v>414</v>
      </c>
    </row>
    <row r="164" spans="12:13">
      <c r="L164" s="69">
        <v>14113</v>
      </c>
      <c r="M164" t="s">
        <v>415</v>
      </c>
    </row>
    <row r="165" spans="12:13">
      <c r="L165" s="69">
        <v>14114</v>
      </c>
      <c r="M165" t="s">
        <v>416</v>
      </c>
    </row>
    <row r="166" spans="12:13">
      <c r="L166" s="69">
        <v>14115</v>
      </c>
      <c r="M166" t="s">
        <v>417</v>
      </c>
    </row>
    <row r="167" spans="12:13">
      <c r="L167" s="69">
        <v>14117</v>
      </c>
      <c r="M167" t="s">
        <v>418</v>
      </c>
    </row>
    <row r="168" spans="12:13">
      <c r="L168" s="69">
        <v>14118</v>
      </c>
      <c r="M168" t="s">
        <v>419</v>
      </c>
    </row>
    <row r="169" spans="12:13">
      <c r="L169" s="69">
        <v>14119</v>
      </c>
      <c r="M169" t="s">
        <v>420</v>
      </c>
    </row>
    <row r="170" spans="12:13">
      <c r="L170" s="69">
        <v>14200</v>
      </c>
      <c r="M170" t="s">
        <v>421</v>
      </c>
    </row>
    <row r="171" spans="12:13">
      <c r="L171" s="69">
        <v>14210</v>
      </c>
      <c r="M171" t="s">
        <v>421</v>
      </c>
    </row>
    <row r="172" spans="12:13">
      <c r="L172" s="69">
        <v>14211</v>
      </c>
      <c r="M172" t="s">
        <v>422</v>
      </c>
    </row>
    <row r="173" spans="12:13">
      <c r="L173" s="69">
        <v>14212</v>
      </c>
      <c r="M173" t="s">
        <v>423</v>
      </c>
    </row>
    <row r="174" spans="12:13">
      <c r="L174" s="69">
        <v>14213</v>
      </c>
      <c r="M174" t="s">
        <v>424</v>
      </c>
    </row>
    <row r="175" spans="12:13">
      <c r="L175" s="69">
        <v>14217</v>
      </c>
      <c r="M175" t="s">
        <v>425</v>
      </c>
    </row>
    <row r="176" spans="12:13">
      <c r="L176" s="69">
        <v>14218</v>
      </c>
      <c r="M176" t="s">
        <v>426</v>
      </c>
    </row>
    <row r="177" spans="12:13">
      <c r="L177" s="69">
        <v>14219</v>
      </c>
      <c r="M177" t="s">
        <v>427</v>
      </c>
    </row>
    <row r="178" spans="12:13">
      <c r="L178" s="69">
        <v>14300</v>
      </c>
      <c r="M178" t="s">
        <v>428</v>
      </c>
    </row>
    <row r="179" spans="12:13">
      <c r="L179" s="69">
        <v>14310</v>
      </c>
      <c r="M179" t="s">
        <v>429</v>
      </c>
    </row>
    <row r="180" spans="12:13">
      <c r="L180" s="69">
        <v>14311</v>
      </c>
      <c r="M180" t="s">
        <v>429</v>
      </c>
    </row>
    <row r="181" spans="12:13">
      <c r="L181" s="69">
        <v>14317</v>
      </c>
      <c r="M181" t="s">
        <v>430</v>
      </c>
    </row>
    <row r="182" spans="12:13">
      <c r="L182" s="69">
        <v>14318</v>
      </c>
      <c r="M182" t="s">
        <v>431</v>
      </c>
    </row>
    <row r="183" spans="12:13">
      <c r="L183" s="69">
        <v>14319</v>
      </c>
      <c r="M183" t="s">
        <v>432</v>
      </c>
    </row>
    <row r="184" spans="12:13">
      <c r="L184" s="69">
        <v>14320</v>
      </c>
      <c r="M184" t="s">
        <v>433</v>
      </c>
    </row>
    <row r="185" spans="12:13">
      <c r="L185" s="69">
        <v>14321</v>
      </c>
      <c r="M185" t="s">
        <v>433</v>
      </c>
    </row>
    <row r="186" spans="12:13">
      <c r="L186" s="69">
        <v>14327</v>
      </c>
      <c r="M186" t="s">
        <v>434</v>
      </c>
    </row>
    <row r="187" spans="12:13">
      <c r="L187" s="69">
        <v>14328</v>
      </c>
      <c r="M187" t="s">
        <v>435</v>
      </c>
    </row>
    <row r="188" spans="12:13">
      <c r="L188" s="69">
        <v>14329</v>
      </c>
      <c r="M188" t="s">
        <v>436</v>
      </c>
    </row>
    <row r="189" spans="12:13">
      <c r="L189" s="69">
        <v>15000</v>
      </c>
      <c r="M189" t="s">
        <v>437</v>
      </c>
    </row>
    <row r="190" spans="12:13">
      <c r="L190" s="69">
        <v>15100</v>
      </c>
      <c r="M190" t="s">
        <v>438</v>
      </c>
    </row>
    <row r="191" spans="12:13">
      <c r="L191" s="69">
        <v>15110</v>
      </c>
      <c r="M191" t="s">
        <v>439</v>
      </c>
    </row>
    <row r="192" spans="12:13">
      <c r="L192" s="69">
        <v>15111</v>
      </c>
      <c r="M192" t="s">
        <v>440</v>
      </c>
    </row>
    <row r="193" spans="12:13">
      <c r="L193" s="69">
        <v>15112</v>
      </c>
      <c r="M193" t="s">
        <v>441</v>
      </c>
    </row>
    <row r="194" spans="12:13">
      <c r="L194" s="69">
        <v>15113</v>
      </c>
      <c r="M194" t="s">
        <v>442</v>
      </c>
    </row>
    <row r="195" spans="12:13">
      <c r="L195" s="69">
        <v>15114</v>
      </c>
      <c r="M195" t="s">
        <v>443</v>
      </c>
    </row>
    <row r="196" spans="12:13">
      <c r="L196" s="69">
        <v>15115</v>
      </c>
      <c r="M196" t="s">
        <v>444</v>
      </c>
    </row>
    <row r="197" spans="12:13">
      <c r="L197" s="69">
        <v>15120</v>
      </c>
      <c r="M197" t="s">
        <v>445</v>
      </c>
    </row>
    <row r="198" spans="12:13">
      <c r="L198" s="69">
        <v>15121</v>
      </c>
      <c r="M198" t="s">
        <v>446</v>
      </c>
    </row>
    <row r="199" spans="12:13">
      <c r="L199" s="69">
        <v>15122</v>
      </c>
      <c r="M199" t="s">
        <v>447</v>
      </c>
    </row>
    <row r="200" spans="12:13">
      <c r="L200" s="69">
        <v>15123</v>
      </c>
      <c r="M200" t="s">
        <v>448</v>
      </c>
    </row>
    <row r="201" spans="12:13">
      <c r="L201" s="69">
        <v>15124</v>
      </c>
      <c r="M201" t="s">
        <v>449</v>
      </c>
    </row>
    <row r="202" spans="12:13">
      <c r="L202" s="69">
        <v>15125</v>
      </c>
      <c r="M202" t="s">
        <v>450</v>
      </c>
    </row>
    <row r="203" spans="12:13">
      <c r="L203" s="69">
        <v>15126</v>
      </c>
      <c r="M203" t="s">
        <v>451</v>
      </c>
    </row>
    <row r="204" spans="12:13">
      <c r="L204" s="69">
        <v>15127</v>
      </c>
      <c r="M204" t="s">
        <v>452</v>
      </c>
    </row>
    <row r="205" spans="12:13">
      <c r="L205" s="69">
        <v>15128</v>
      </c>
      <c r="M205" t="s">
        <v>453</v>
      </c>
    </row>
    <row r="206" spans="12:13">
      <c r="L206" s="69">
        <v>15129</v>
      </c>
      <c r="M206" t="s">
        <v>454</v>
      </c>
    </row>
    <row r="207" spans="12:13">
      <c r="L207" s="69">
        <v>15130</v>
      </c>
      <c r="M207" t="s">
        <v>455</v>
      </c>
    </row>
    <row r="208" spans="12:13">
      <c r="L208" s="69">
        <v>15131</v>
      </c>
      <c r="M208" t="s">
        <v>455</v>
      </c>
    </row>
    <row r="209" spans="12:13">
      <c r="L209" s="69">
        <v>15140</v>
      </c>
      <c r="M209" t="s">
        <v>456</v>
      </c>
    </row>
    <row r="210" spans="12:13">
      <c r="L210" s="69">
        <v>15141</v>
      </c>
      <c r="M210" t="s">
        <v>456</v>
      </c>
    </row>
    <row r="211" spans="12:13">
      <c r="L211" s="69">
        <v>15150</v>
      </c>
      <c r="M211" t="s">
        <v>457</v>
      </c>
    </row>
    <row r="212" spans="12:13">
      <c r="L212" s="69">
        <v>15151</v>
      </c>
      <c r="M212" t="s">
        <v>457</v>
      </c>
    </row>
    <row r="213" spans="12:13">
      <c r="L213" s="69">
        <v>15160</v>
      </c>
      <c r="M213" t="s">
        <v>458</v>
      </c>
    </row>
    <row r="214" spans="12:13">
      <c r="L214" s="69">
        <v>15161</v>
      </c>
      <c r="M214" t="s">
        <v>458</v>
      </c>
    </row>
    <row r="215" spans="12:13">
      <c r="L215" s="69">
        <v>15170</v>
      </c>
      <c r="M215" t="s">
        <v>459</v>
      </c>
    </row>
    <row r="216" spans="12:13">
      <c r="L216" s="69">
        <v>15171</v>
      </c>
      <c r="M216" t="s">
        <v>459</v>
      </c>
    </row>
    <row r="217" spans="12:13">
      <c r="L217" s="69">
        <v>15180</v>
      </c>
      <c r="M217" t="s">
        <v>460</v>
      </c>
    </row>
    <row r="218" spans="12:13">
      <c r="L218" s="69">
        <v>15181</v>
      </c>
      <c r="M218" t="s">
        <v>461</v>
      </c>
    </row>
    <row r="219" spans="12:13">
      <c r="L219" s="69">
        <v>15182</v>
      </c>
      <c r="M219" t="s">
        <v>462</v>
      </c>
    </row>
    <row r="220" spans="12:13">
      <c r="L220" s="69">
        <v>15200</v>
      </c>
      <c r="M220" t="s">
        <v>463</v>
      </c>
    </row>
    <row r="221" spans="12:13">
      <c r="L221" s="69">
        <v>15210</v>
      </c>
      <c r="M221" t="s">
        <v>464</v>
      </c>
    </row>
    <row r="222" spans="12:13">
      <c r="L222" s="69">
        <v>15211</v>
      </c>
      <c r="M222" t="s">
        <v>465</v>
      </c>
    </row>
    <row r="223" spans="12:13">
      <c r="L223" s="69">
        <v>15212</v>
      </c>
      <c r="M223" t="s">
        <v>466</v>
      </c>
    </row>
    <row r="224" spans="12:13">
      <c r="L224" s="69">
        <v>15213</v>
      </c>
      <c r="M224" t="s">
        <v>467</v>
      </c>
    </row>
    <row r="225" spans="12:13">
      <c r="L225" s="69">
        <v>15214</v>
      </c>
      <c r="M225" t="s">
        <v>468</v>
      </c>
    </row>
    <row r="226" spans="12:13">
      <c r="L226" s="69">
        <v>15215</v>
      </c>
      <c r="M226" t="s">
        <v>469</v>
      </c>
    </row>
    <row r="227" spans="12:13">
      <c r="L227" s="69">
        <v>15220</v>
      </c>
      <c r="M227" t="s">
        <v>470</v>
      </c>
    </row>
    <row r="228" spans="12:13">
      <c r="L228" s="69">
        <v>15221</v>
      </c>
      <c r="M228" t="s">
        <v>471</v>
      </c>
    </row>
    <row r="229" spans="12:13">
      <c r="L229" s="69">
        <v>15222</v>
      </c>
      <c r="M229" t="s">
        <v>472</v>
      </c>
    </row>
    <row r="230" spans="12:13">
      <c r="L230" s="69">
        <v>15223</v>
      </c>
      <c r="M230" t="s">
        <v>473</v>
      </c>
    </row>
    <row r="231" spans="12:13">
      <c r="L231" s="69">
        <v>15224</v>
      </c>
      <c r="M231" t="s">
        <v>474</v>
      </c>
    </row>
    <row r="232" spans="12:13">
      <c r="L232" s="69">
        <v>15225</v>
      </c>
      <c r="M232" t="s">
        <v>475</v>
      </c>
    </row>
    <row r="233" spans="12:13">
      <c r="L233" s="69">
        <v>15226</v>
      </c>
      <c r="M233" t="s">
        <v>476</v>
      </c>
    </row>
    <row r="234" spans="12:13">
      <c r="L234" s="69">
        <v>15227</v>
      </c>
      <c r="M234" t="s">
        <v>477</v>
      </c>
    </row>
    <row r="235" spans="12:13">
      <c r="L235" s="69">
        <v>15228</v>
      </c>
      <c r="M235" t="s">
        <v>478</v>
      </c>
    </row>
    <row r="236" spans="12:13">
      <c r="L236" s="69">
        <v>15229</v>
      </c>
      <c r="M236" t="s">
        <v>479</v>
      </c>
    </row>
    <row r="237" spans="12:13">
      <c r="L237" s="69">
        <v>15230</v>
      </c>
      <c r="M237" t="s">
        <v>480</v>
      </c>
    </row>
    <row r="238" spans="12:13">
      <c r="L238" s="69">
        <v>15231</v>
      </c>
      <c r="M238" t="s">
        <v>480</v>
      </c>
    </row>
    <row r="239" spans="12:13">
      <c r="L239" s="69">
        <v>15240</v>
      </c>
      <c r="M239" t="s">
        <v>481</v>
      </c>
    </row>
    <row r="240" spans="12:13">
      <c r="L240" s="69">
        <v>15241</v>
      </c>
      <c r="M240" t="s">
        <v>481</v>
      </c>
    </row>
    <row r="241" spans="12:13">
      <c r="L241" s="69">
        <v>15250</v>
      </c>
      <c r="M241" t="s">
        <v>482</v>
      </c>
    </row>
    <row r="242" spans="12:13">
      <c r="L242" s="69">
        <v>15251</v>
      </c>
      <c r="M242" t="s">
        <v>482</v>
      </c>
    </row>
    <row r="243" spans="12:13">
      <c r="L243" s="69">
        <v>15260</v>
      </c>
      <c r="M243" t="s">
        <v>483</v>
      </c>
    </row>
    <row r="244" spans="12:13">
      <c r="L244" s="69">
        <v>15261</v>
      </c>
      <c r="M244" t="s">
        <v>483</v>
      </c>
    </row>
    <row r="245" spans="12:13">
      <c r="L245" s="69">
        <v>15270</v>
      </c>
      <c r="M245" t="s">
        <v>484</v>
      </c>
    </row>
    <row r="246" spans="12:13">
      <c r="L246" s="69">
        <v>15271</v>
      </c>
      <c r="M246" t="s">
        <v>484</v>
      </c>
    </row>
    <row r="247" spans="12:13">
      <c r="L247" s="69">
        <v>15280</v>
      </c>
      <c r="M247" t="s">
        <v>485</v>
      </c>
    </row>
    <row r="248" spans="12:13">
      <c r="L248" s="69">
        <v>15281</v>
      </c>
      <c r="M248" t="s">
        <v>486</v>
      </c>
    </row>
    <row r="249" spans="12:13">
      <c r="L249" s="69">
        <v>15282</v>
      </c>
      <c r="M249" t="s">
        <v>487</v>
      </c>
    </row>
    <row r="250" spans="12:13">
      <c r="L250" s="69">
        <v>16000</v>
      </c>
      <c r="M250" t="s">
        <v>488</v>
      </c>
    </row>
    <row r="251" spans="12:13">
      <c r="L251" s="69">
        <v>16100</v>
      </c>
      <c r="M251" t="s">
        <v>488</v>
      </c>
    </row>
    <row r="252" spans="12:13">
      <c r="L252" s="69">
        <v>16110</v>
      </c>
      <c r="M252" t="s">
        <v>489</v>
      </c>
    </row>
    <row r="253" spans="12:13">
      <c r="L253" s="69">
        <v>16111</v>
      </c>
      <c r="M253" t="s">
        <v>489</v>
      </c>
    </row>
    <row r="254" spans="12:13">
      <c r="L254" s="69">
        <v>16117</v>
      </c>
      <c r="M254" t="s">
        <v>490</v>
      </c>
    </row>
    <row r="255" spans="12:13">
      <c r="L255" s="69">
        <v>16118</v>
      </c>
      <c r="M255" t="s">
        <v>491</v>
      </c>
    </row>
    <row r="256" spans="12:13">
      <c r="L256" s="69">
        <v>16119</v>
      </c>
      <c r="M256" t="s">
        <v>492</v>
      </c>
    </row>
    <row r="257" spans="12:13">
      <c r="L257" s="69">
        <v>16120</v>
      </c>
      <c r="M257" t="s">
        <v>493</v>
      </c>
    </row>
    <row r="258" spans="12:13">
      <c r="L258" s="69">
        <v>16121</v>
      </c>
      <c r="M258" t="s">
        <v>493</v>
      </c>
    </row>
    <row r="259" spans="12:13">
      <c r="L259" s="69">
        <v>16127</v>
      </c>
      <c r="M259" t="s">
        <v>494</v>
      </c>
    </row>
    <row r="260" spans="12:13">
      <c r="L260" s="69">
        <v>16128</v>
      </c>
      <c r="M260" t="s">
        <v>495</v>
      </c>
    </row>
    <row r="261" spans="12:13">
      <c r="L261" s="69">
        <v>16129</v>
      </c>
      <c r="M261" t="s">
        <v>496</v>
      </c>
    </row>
    <row r="262" spans="12:13">
      <c r="L262" s="69">
        <v>16130</v>
      </c>
      <c r="M262" t="s">
        <v>497</v>
      </c>
    </row>
    <row r="263" spans="12:13">
      <c r="L263" s="69">
        <v>16131</v>
      </c>
      <c r="M263" t="s">
        <v>497</v>
      </c>
    </row>
    <row r="264" spans="12:13">
      <c r="L264" s="69">
        <v>16137</v>
      </c>
      <c r="M264" t="s">
        <v>498</v>
      </c>
    </row>
    <row r="265" spans="12:13">
      <c r="L265" s="69">
        <v>16138</v>
      </c>
      <c r="M265" t="s">
        <v>499</v>
      </c>
    </row>
    <row r="266" spans="12:13">
      <c r="L266" s="69">
        <v>16139</v>
      </c>
      <c r="M266" t="s">
        <v>500</v>
      </c>
    </row>
    <row r="267" spans="12:13">
      <c r="L267" s="69">
        <v>16140</v>
      </c>
      <c r="M267" t="s">
        <v>501</v>
      </c>
    </row>
    <row r="268" spans="12:13">
      <c r="L268" s="69">
        <v>16141</v>
      </c>
      <c r="M268" t="s">
        <v>501</v>
      </c>
    </row>
    <row r="269" spans="12:13">
      <c r="L269" s="69">
        <v>16147</v>
      </c>
      <c r="M269" t="s">
        <v>502</v>
      </c>
    </row>
    <row r="270" spans="12:13">
      <c r="L270" s="69">
        <v>16148</v>
      </c>
      <c r="M270" t="s">
        <v>503</v>
      </c>
    </row>
    <row r="271" spans="12:13">
      <c r="L271" s="69">
        <v>16149</v>
      </c>
      <c r="M271" t="s">
        <v>504</v>
      </c>
    </row>
    <row r="272" spans="12:13">
      <c r="L272" s="69">
        <v>16150</v>
      </c>
      <c r="M272" t="s">
        <v>505</v>
      </c>
    </row>
    <row r="273" spans="12:13">
      <c r="L273" s="69">
        <v>16151</v>
      </c>
      <c r="M273" t="s">
        <v>505</v>
      </c>
    </row>
    <row r="274" spans="12:13">
      <c r="L274" s="69">
        <v>16157</v>
      </c>
      <c r="M274" t="s">
        <v>506</v>
      </c>
    </row>
    <row r="275" spans="12:13">
      <c r="L275" s="69">
        <v>16158</v>
      </c>
      <c r="M275" t="s">
        <v>507</v>
      </c>
    </row>
    <row r="276" spans="12:13">
      <c r="L276" s="69">
        <v>16159</v>
      </c>
      <c r="M276" t="s">
        <v>508</v>
      </c>
    </row>
    <row r="277" spans="12:13">
      <c r="L277" s="69">
        <v>16160</v>
      </c>
      <c r="M277" t="s">
        <v>509</v>
      </c>
    </row>
    <row r="278" spans="12:13">
      <c r="L278" s="69">
        <v>16161</v>
      </c>
      <c r="M278" t="s">
        <v>509</v>
      </c>
    </row>
    <row r="279" spans="12:13">
      <c r="L279" s="69">
        <v>16167</v>
      </c>
      <c r="M279" t="s">
        <v>510</v>
      </c>
    </row>
    <row r="280" spans="12:13">
      <c r="L280" s="69">
        <v>16168</v>
      </c>
      <c r="M280" t="s">
        <v>511</v>
      </c>
    </row>
    <row r="281" spans="12:13">
      <c r="L281" s="69">
        <v>16169</v>
      </c>
      <c r="M281" t="s">
        <v>512</v>
      </c>
    </row>
    <row r="282" spans="12:13">
      <c r="L282" s="69">
        <v>16170</v>
      </c>
      <c r="M282" t="s">
        <v>513</v>
      </c>
    </row>
    <row r="283" spans="12:13">
      <c r="L283" s="69">
        <v>16171</v>
      </c>
      <c r="M283" t="s">
        <v>513</v>
      </c>
    </row>
    <row r="284" spans="12:13">
      <c r="L284" s="69">
        <v>16177</v>
      </c>
      <c r="M284" t="s">
        <v>514</v>
      </c>
    </row>
    <row r="285" spans="12:13">
      <c r="L285" s="69">
        <v>16178</v>
      </c>
      <c r="M285" t="s">
        <v>515</v>
      </c>
    </row>
    <row r="286" spans="12:13">
      <c r="L286" s="69">
        <v>16179</v>
      </c>
      <c r="M286" t="s">
        <v>516</v>
      </c>
    </row>
    <row r="287" spans="12:13">
      <c r="L287" s="69">
        <v>16180</v>
      </c>
      <c r="M287" t="s">
        <v>517</v>
      </c>
    </row>
    <row r="288" spans="12:13">
      <c r="L288" s="69">
        <v>16181</v>
      </c>
      <c r="M288" t="s">
        <v>517</v>
      </c>
    </row>
    <row r="289" spans="12:13">
      <c r="L289" s="69">
        <v>16190</v>
      </c>
      <c r="M289" t="s">
        <v>518</v>
      </c>
    </row>
    <row r="290" spans="12:13">
      <c r="L290" s="69">
        <v>16191</v>
      </c>
      <c r="M290" t="s">
        <v>518</v>
      </c>
    </row>
    <row r="291" spans="12:13">
      <c r="L291" s="69">
        <v>20000</v>
      </c>
      <c r="M291" t="s">
        <v>519</v>
      </c>
    </row>
    <row r="292" spans="12:13">
      <c r="L292" s="69">
        <v>21000</v>
      </c>
      <c r="M292" t="s">
        <v>520</v>
      </c>
    </row>
    <row r="293" spans="12:13">
      <c r="L293" s="69">
        <v>21100</v>
      </c>
      <c r="M293" t="s">
        <v>521</v>
      </c>
    </row>
    <row r="294" spans="12:13">
      <c r="L294" s="69">
        <v>21110</v>
      </c>
      <c r="M294" t="s">
        <v>521</v>
      </c>
    </row>
    <row r="295" spans="12:13">
      <c r="L295" s="69">
        <v>21111</v>
      </c>
      <c r="M295" t="s">
        <v>521</v>
      </c>
    </row>
    <row r="296" spans="12:13">
      <c r="L296" s="69">
        <v>21117</v>
      </c>
      <c r="M296" t="s">
        <v>522</v>
      </c>
    </row>
    <row r="297" spans="12:13">
      <c r="L297" s="69">
        <v>21118</v>
      </c>
      <c r="M297" t="s">
        <v>523</v>
      </c>
    </row>
    <row r="298" spans="12:13">
      <c r="L298" s="69">
        <v>21119</v>
      </c>
      <c r="M298" t="s">
        <v>524</v>
      </c>
    </row>
    <row r="299" spans="12:13">
      <c r="L299" s="69">
        <v>21200</v>
      </c>
      <c r="M299" t="s">
        <v>525</v>
      </c>
    </row>
    <row r="300" spans="12:13">
      <c r="L300" s="69">
        <v>21210</v>
      </c>
      <c r="M300" t="s">
        <v>526</v>
      </c>
    </row>
    <row r="301" spans="12:13">
      <c r="L301" s="69">
        <v>21211</v>
      </c>
      <c r="M301" t="s">
        <v>526</v>
      </c>
    </row>
    <row r="302" spans="12:13">
      <c r="L302" s="69">
        <v>21220</v>
      </c>
      <c r="M302" t="s">
        <v>527</v>
      </c>
    </row>
    <row r="303" spans="12:13">
      <c r="L303" s="69">
        <v>21221</v>
      </c>
      <c r="M303" t="s">
        <v>527</v>
      </c>
    </row>
    <row r="304" spans="12:13">
      <c r="L304" s="69">
        <v>21230</v>
      </c>
      <c r="M304" t="s">
        <v>528</v>
      </c>
    </row>
    <row r="305" spans="12:13">
      <c r="L305" s="69">
        <v>21231</v>
      </c>
      <c r="M305" t="s">
        <v>528</v>
      </c>
    </row>
    <row r="306" spans="12:13">
      <c r="L306" s="69">
        <v>21300</v>
      </c>
      <c r="M306" t="s">
        <v>529</v>
      </c>
    </row>
    <row r="307" spans="12:13">
      <c r="L307" s="69">
        <v>21310</v>
      </c>
      <c r="M307" t="s">
        <v>529</v>
      </c>
    </row>
    <row r="308" spans="12:13">
      <c r="L308" s="69">
        <v>21311</v>
      </c>
      <c r="M308" t="s">
        <v>530</v>
      </c>
    </row>
    <row r="309" spans="12:13">
      <c r="L309" s="69">
        <v>21312</v>
      </c>
      <c r="M309" t="s">
        <v>531</v>
      </c>
    </row>
    <row r="310" spans="12:13">
      <c r="L310" s="69">
        <v>21313</v>
      </c>
      <c r="M310" t="s">
        <v>532</v>
      </c>
    </row>
    <row r="311" spans="12:13">
      <c r="L311" s="69">
        <v>21314</v>
      </c>
      <c r="M311" t="s">
        <v>533</v>
      </c>
    </row>
    <row r="312" spans="12:13">
      <c r="L312" s="69">
        <v>21319</v>
      </c>
      <c r="M312" t="s">
        <v>534</v>
      </c>
    </row>
    <row r="313" spans="12:13">
      <c r="L313" s="69">
        <v>22000</v>
      </c>
      <c r="M313" t="s">
        <v>535</v>
      </c>
    </row>
    <row r="314" spans="12:13">
      <c r="L314" s="69">
        <v>22100</v>
      </c>
      <c r="M314" t="s">
        <v>536</v>
      </c>
    </row>
    <row r="315" spans="12:13">
      <c r="L315" s="69">
        <v>22110</v>
      </c>
      <c r="M315" t="s">
        <v>536</v>
      </c>
    </row>
    <row r="316" spans="12:13">
      <c r="L316" s="69">
        <v>22111</v>
      </c>
      <c r="M316" t="s">
        <v>536</v>
      </c>
    </row>
    <row r="317" spans="12:13">
      <c r="L317" s="69">
        <v>22120</v>
      </c>
      <c r="M317" t="s">
        <v>537</v>
      </c>
    </row>
    <row r="318" spans="12:13">
      <c r="L318" s="69">
        <v>22121</v>
      </c>
      <c r="M318" t="s">
        <v>537</v>
      </c>
    </row>
    <row r="319" spans="12:13">
      <c r="L319" s="69">
        <v>22129</v>
      </c>
      <c r="M319" t="s">
        <v>538</v>
      </c>
    </row>
    <row r="320" spans="12:13">
      <c r="L320" s="69">
        <v>22200</v>
      </c>
      <c r="M320" t="s">
        <v>539</v>
      </c>
    </row>
    <row r="321" spans="12:13">
      <c r="L321" s="69">
        <v>22210</v>
      </c>
      <c r="M321" t="s">
        <v>540</v>
      </c>
    </row>
    <row r="322" spans="12:13">
      <c r="L322" s="69">
        <v>22211</v>
      </c>
      <c r="M322" t="s">
        <v>541</v>
      </c>
    </row>
    <row r="323" spans="12:13">
      <c r="L323" s="69">
        <v>22220</v>
      </c>
      <c r="M323" t="s">
        <v>542</v>
      </c>
    </row>
    <row r="324" spans="12:13">
      <c r="L324" s="69">
        <v>22221</v>
      </c>
      <c r="M324" t="s">
        <v>543</v>
      </c>
    </row>
    <row r="325" spans="12:13">
      <c r="L325" s="69">
        <v>22222</v>
      </c>
      <c r="M325" t="s">
        <v>544</v>
      </c>
    </row>
    <row r="326" spans="12:13">
      <c r="L326" s="69">
        <v>22230</v>
      </c>
      <c r="M326" t="s">
        <v>545</v>
      </c>
    </row>
    <row r="327" spans="12:13">
      <c r="L327" s="69">
        <v>22231</v>
      </c>
      <c r="M327" t="s">
        <v>546</v>
      </c>
    </row>
    <row r="328" spans="12:13">
      <c r="L328" s="69">
        <v>22232</v>
      </c>
      <c r="M328" t="s">
        <v>547</v>
      </c>
    </row>
    <row r="329" spans="12:13">
      <c r="L329" s="69">
        <v>22233</v>
      </c>
      <c r="M329" t="s">
        <v>548</v>
      </c>
    </row>
    <row r="330" spans="12:13">
      <c r="L330" s="69">
        <v>22234</v>
      </c>
      <c r="M330" t="s">
        <v>549</v>
      </c>
    </row>
    <row r="331" spans="12:13">
      <c r="L331" s="69">
        <v>22235</v>
      </c>
      <c r="M331" t="s">
        <v>550</v>
      </c>
    </row>
    <row r="332" spans="12:13">
      <c r="L332" s="69">
        <v>22236</v>
      </c>
      <c r="M332" t="s">
        <v>551</v>
      </c>
    </row>
    <row r="333" spans="12:13">
      <c r="L333" s="69">
        <v>22237</v>
      </c>
      <c r="M333" t="s">
        <v>552</v>
      </c>
    </row>
    <row r="334" spans="12:13">
      <c r="L334" s="69">
        <v>22238</v>
      </c>
      <c r="M334" t="s">
        <v>553</v>
      </c>
    </row>
    <row r="335" spans="12:13">
      <c r="L335" s="69">
        <v>22239</v>
      </c>
      <c r="M335" t="s">
        <v>554</v>
      </c>
    </row>
    <row r="336" spans="12:13">
      <c r="L336" s="69">
        <v>22290</v>
      </c>
      <c r="M336" t="s">
        <v>555</v>
      </c>
    </row>
    <row r="337" spans="12:13">
      <c r="L337" s="69">
        <v>22291</v>
      </c>
      <c r="M337" t="s">
        <v>556</v>
      </c>
    </row>
    <row r="338" spans="12:13">
      <c r="L338" s="69">
        <v>22292</v>
      </c>
      <c r="M338" t="s">
        <v>557</v>
      </c>
    </row>
    <row r="339" spans="12:13">
      <c r="L339" s="69">
        <v>22293</v>
      </c>
      <c r="M339" t="s">
        <v>558</v>
      </c>
    </row>
    <row r="340" spans="12:13">
      <c r="L340" s="70">
        <v>100000</v>
      </c>
      <c r="M340" t="s">
        <v>559</v>
      </c>
    </row>
    <row r="341" spans="12:13">
      <c r="L341" s="69">
        <v>110000</v>
      </c>
      <c r="M341" t="s">
        <v>560</v>
      </c>
    </row>
    <row r="342" spans="12:13">
      <c r="L342" s="69">
        <v>111000</v>
      </c>
      <c r="M342" t="s">
        <v>561</v>
      </c>
    </row>
    <row r="343" spans="12:13">
      <c r="L343" s="69">
        <v>111100</v>
      </c>
      <c r="M343" t="s">
        <v>562</v>
      </c>
    </row>
    <row r="344" spans="12:13">
      <c r="L344" s="69">
        <v>111110</v>
      </c>
      <c r="M344" t="s">
        <v>563</v>
      </c>
    </row>
    <row r="345" spans="12:13">
      <c r="L345" s="69">
        <v>111111</v>
      </c>
      <c r="M345" t="s">
        <v>563</v>
      </c>
    </row>
    <row r="346" spans="12:13">
      <c r="L346" s="69">
        <v>111190</v>
      </c>
      <c r="M346" t="s">
        <v>564</v>
      </c>
    </row>
    <row r="347" spans="12:13">
      <c r="L347" s="69">
        <v>111191</v>
      </c>
      <c r="M347" t="s">
        <v>564</v>
      </c>
    </row>
    <row r="348" spans="12:13">
      <c r="L348" s="69">
        <v>111200</v>
      </c>
      <c r="M348" t="s">
        <v>565</v>
      </c>
    </row>
    <row r="349" spans="12:13">
      <c r="L349" s="69">
        <v>111210</v>
      </c>
      <c r="M349" t="s">
        <v>566</v>
      </c>
    </row>
    <row r="350" spans="12:13">
      <c r="L350" s="69">
        <v>111211</v>
      </c>
      <c r="M350" t="s">
        <v>566</v>
      </c>
    </row>
    <row r="351" spans="12:13">
      <c r="L351" s="69">
        <v>111220</v>
      </c>
      <c r="M351" t="s">
        <v>567</v>
      </c>
    </row>
    <row r="352" spans="12:13">
      <c r="L352" s="69">
        <v>111221</v>
      </c>
      <c r="M352" t="s">
        <v>567</v>
      </c>
    </row>
    <row r="353" spans="12:13">
      <c r="L353" s="69">
        <v>111230</v>
      </c>
      <c r="M353" t="s">
        <v>568</v>
      </c>
    </row>
    <row r="354" spans="12:13">
      <c r="L354" s="69">
        <v>111231</v>
      </c>
      <c r="M354" t="s">
        <v>568</v>
      </c>
    </row>
    <row r="355" spans="12:13">
      <c r="L355" s="69">
        <v>111240</v>
      </c>
      <c r="M355" t="s">
        <v>569</v>
      </c>
    </row>
    <row r="356" spans="12:13">
      <c r="L356" s="69">
        <v>111241</v>
      </c>
      <c r="M356" t="s">
        <v>569</v>
      </c>
    </row>
    <row r="357" spans="12:13">
      <c r="L357" s="69">
        <v>111250</v>
      </c>
      <c r="M357" t="s">
        <v>570</v>
      </c>
    </row>
    <row r="358" spans="12:13">
      <c r="L358" s="69">
        <v>111251</v>
      </c>
      <c r="M358" t="s">
        <v>571</v>
      </c>
    </row>
    <row r="359" spans="12:13">
      <c r="L359" s="69">
        <v>111252</v>
      </c>
      <c r="M359" t="s">
        <v>572</v>
      </c>
    </row>
    <row r="360" spans="12:13">
      <c r="L360" s="69">
        <v>111255</v>
      </c>
      <c r="M360" t="s">
        <v>573</v>
      </c>
    </row>
    <row r="361" spans="12:13">
      <c r="L361" s="69">
        <v>111290</v>
      </c>
      <c r="M361" t="s">
        <v>574</v>
      </c>
    </row>
    <row r="362" spans="12:13">
      <c r="L362" s="69">
        <v>111291</v>
      </c>
      <c r="M362" t="s">
        <v>575</v>
      </c>
    </row>
    <row r="363" spans="12:13">
      <c r="L363" s="69">
        <v>111292</v>
      </c>
      <c r="M363" t="s">
        <v>576</v>
      </c>
    </row>
    <row r="364" spans="12:13">
      <c r="L364" s="69">
        <v>111293</v>
      </c>
      <c r="M364" t="s">
        <v>577</v>
      </c>
    </row>
    <row r="365" spans="12:13">
      <c r="L365" s="69">
        <v>111294</v>
      </c>
      <c r="M365" t="s">
        <v>578</v>
      </c>
    </row>
    <row r="366" spans="12:13">
      <c r="L366" s="69">
        <v>111295</v>
      </c>
      <c r="M366" t="s">
        <v>579</v>
      </c>
    </row>
    <row r="367" spans="12:13">
      <c r="L367" s="69">
        <v>111300</v>
      </c>
      <c r="M367" t="s">
        <v>580</v>
      </c>
    </row>
    <row r="368" spans="12:13">
      <c r="L368" s="69">
        <v>111310</v>
      </c>
      <c r="M368" t="s">
        <v>581</v>
      </c>
    </row>
    <row r="369" spans="12:13">
      <c r="L369" s="69">
        <v>111311</v>
      </c>
      <c r="M369" t="s">
        <v>581</v>
      </c>
    </row>
    <row r="370" spans="12:13">
      <c r="L370" s="69">
        <v>111380</v>
      </c>
      <c r="M370" t="s">
        <v>582</v>
      </c>
    </row>
    <row r="371" spans="12:13">
      <c r="L371" s="69">
        <v>111381</v>
      </c>
      <c r="M371" t="s">
        <v>582</v>
      </c>
    </row>
    <row r="372" spans="12:13">
      <c r="L372" s="69">
        <v>111390</v>
      </c>
      <c r="M372" t="s">
        <v>583</v>
      </c>
    </row>
    <row r="373" spans="12:13">
      <c r="L373" s="69">
        <v>111391</v>
      </c>
      <c r="M373" t="s">
        <v>584</v>
      </c>
    </row>
    <row r="374" spans="12:13">
      <c r="L374" s="69">
        <v>111398</v>
      </c>
      <c r="M374" t="s">
        <v>585</v>
      </c>
    </row>
    <row r="375" spans="12:13">
      <c r="L375" s="69">
        <v>111400</v>
      </c>
      <c r="M375" t="s">
        <v>586</v>
      </c>
    </row>
    <row r="376" spans="12:13">
      <c r="L376" s="69">
        <v>111410</v>
      </c>
      <c r="M376" t="s">
        <v>587</v>
      </c>
    </row>
    <row r="377" spans="12:13">
      <c r="L377" s="69">
        <v>111411</v>
      </c>
      <c r="M377" t="s">
        <v>587</v>
      </c>
    </row>
    <row r="378" spans="12:13">
      <c r="L378" s="69">
        <v>111490</v>
      </c>
      <c r="M378" t="s">
        <v>588</v>
      </c>
    </row>
    <row r="379" spans="12:13">
      <c r="L379" s="69">
        <v>111491</v>
      </c>
      <c r="M379" t="s">
        <v>588</v>
      </c>
    </row>
    <row r="380" spans="12:13">
      <c r="L380" s="69">
        <v>111500</v>
      </c>
      <c r="M380" t="s">
        <v>589</v>
      </c>
    </row>
    <row r="381" spans="12:13">
      <c r="L381" s="69">
        <v>111510</v>
      </c>
      <c r="M381" t="s">
        <v>589</v>
      </c>
    </row>
    <row r="382" spans="12:13">
      <c r="L382" s="69">
        <v>111511</v>
      </c>
      <c r="M382" t="s">
        <v>589</v>
      </c>
    </row>
    <row r="383" spans="12:13">
      <c r="L383" s="69">
        <v>111590</v>
      </c>
      <c r="M383" t="s">
        <v>590</v>
      </c>
    </row>
    <row r="384" spans="12:13">
      <c r="L384" s="69">
        <v>111591</v>
      </c>
      <c r="M384" t="s">
        <v>590</v>
      </c>
    </row>
    <row r="385" spans="12:13">
      <c r="L385" s="69">
        <v>111600</v>
      </c>
      <c r="M385" t="s">
        <v>591</v>
      </c>
    </row>
    <row r="386" spans="12:13">
      <c r="L386" s="69">
        <v>111610</v>
      </c>
      <c r="M386" t="s">
        <v>591</v>
      </c>
    </row>
    <row r="387" spans="12:13">
      <c r="L387" s="69">
        <v>111611</v>
      </c>
      <c r="M387" t="s">
        <v>592</v>
      </c>
    </row>
    <row r="388" spans="12:13">
      <c r="L388" s="69">
        <v>111612</v>
      </c>
      <c r="M388" t="s">
        <v>593</v>
      </c>
    </row>
    <row r="389" spans="12:13">
      <c r="L389" s="69">
        <v>111613</v>
      </c>
      <c r="M389" t="s">
        <v>594</v>
      </c>
    </row>
    <row r="390" spans="12:13">
      <c r="L390" s="69">
        <v>111690</v>
      </c>
      <c r="M390" t="s">
        <v>595</v>
      </c>
    </row>
    <row r="391" spans="12:13">
      <c r="L391" s="69">
        <v>111691</v>
      </c>
      <c r="M391" t="s">
        <v>595</v>
      </c>
    </row>
    <row r="392" spans="12:13">
      <c r="L392" s="69">
        <v>111700</v>
      </c>
      <c r="M392" t="s">
        <v>596</v>
      </c>
    </row>
    <row r="393" spans="12:13">
      <c r="L393" s="69">
        <v>111710</v>
      </c>
      <c r="M393" t="s">
        <v>597</v>
      </c>
    </row>
    <row r="394" spans="12:13">
      <c r="L394" s="69">
        <v>111711</v>
      </c>
      <c r="M394" t="s">
        <v>597</v>
      </c>
    </row>
    <row r="395" spans="12:13">
      <c r="L395" s="69">
        <v>111712</v>
      </c>
      <c r="M395" t="s">
        <v>598</v>
      </c>
    </row>
    <row r="396" spans="12:13">
      <c r="L396" s="69">
        <v>111790</v>
      </c>
      <c r="M396" t="s">
        <v>599</v>
      </c>
    </row>
    <row r="397" spans="12:13">
      <c r="L397" s="69">
        <v>111791</v>
      </c>
      <c r="M397" t="s">
        <v>599</v>
      </c>
    </row>
    <row r="398" spans="12:13">
      <c r="L398" s="69">
        <v>111800</v>
      </c>
      <c r="M398" t="s">
        <v>600</v>
      </c>
    </row>
    <row r="399" spans="12:13">
      <c r="L399" s="69">
        <v>111810</v>
      </c>
      <c r="M399" t="s">
        <v>600</v>
      </c>
    </row>
    <row r="400" spans="12:13">
      <c r="L400" s="69">
        <v>111811</v>
      </c>
      <c r="M400" t="s">
        <v>600</v>
      </c>
    </row>
    <row r="401" spans="12:13">
      <c r="L401" s="69">
        <v>111890</v>
      </c>
      <c r="M401" t="s">
        <v>601</v>
      </c>
    </row>
    <row r="402" spans="12:13">
      <c r="L402" s="69">
        <v>111891</v>
      </c>
      <c r="M402" t="s">
        <v>601</v>
      </c>
    </row>
    <row r="403" spans="12:13">
      <c r="L403" s="69">
        <v>111900</v>
      </c>
      <c r="M403" t="s">
        <v>602</v>
      </c>
    </row>
    <row r="404" spans="12:13">
      <c r="L404" s="69">
        <v>111910</v>
      </c>
      <c r="M404" t="s">
        <v>603</v>
      </c>
    </row>
    <row r="405" spans="12:13">
      <c r="L405" s="69">
        <v>111911</v>
      </c>
      <c r="M405" t="s">
        <v>603</v>
      </c>
    </row>
    <row r="406" spans="12:13">
      <c r="L406" s="69">
        <v>111920</v>
      </c>
      <c r="M406" t="s">
        <v>604</v>
      </c>
    </row>
    <row r="407" spans="12:13">
      <c r="L407" s="69">
        <v>111921</v>
      </c>
      <c r="M407" t="s">
        <v>605</v>
      </c>
    </row>
    <row r="408" spans="12:13">
      <c r="L408" s="69">
        <v>111922</v>
      </c>
      <c r="M408" t="s">
        <v>606</v>
      </c>
    </row>
    <row r="409" spans="12:13">
      <c r="L409" s="69">
        <v>111930</v>
      </c>
      <c r="M409" t="s">
        <v>607</v>
      </c>
    </row>
    <row r="410" spans="12:13">
      <c r="L410" s="69">
        <v>111931</v>
      </c>
      <c r="M410" t="s">
        <v>607</v>
      </c>
    </row>
    <row r="411" spans="12:13">
      <c r="L411" s="69">
        <v>111940</v>
      </c>
      <c r="M411" t="s">
        <v>608</v>
      </c>
    </row>
    <row r="412" spans="12:13">
      <c r="L412" s="69">
        <v>111941</v>
      </c>
      <c r="M412" t="s">
        <v>608</v>
      </c>
    </row>
    <row r="413" spans="12:13">
      <c r="L413" s="69">
        <v>111990</v>
      </c>
      <c r="M413" t="s">
        <v>609</v>
      </c>
    </row>
    <row r="414" spans="12:13">
      <c r="L414" s="69">
        <v>111991</v>
      </c>
      <c r="M414" t="s">
        <v>610</v>
      </c>
    </row>
    <row r="415" spans="12:13">
      <c r="L415" s="69">
        <v>111992</v>
      </c>
      <c r="M415" t="s">
        <v>611</v>
      </c>
    </row>
    <row r="416" spans="12:13">
      <c r="L416" s="69">
        <v>111993</v>
      </c>
      <c r="M416" t="s">
        <v>612</v>
      </c>
    </row>
    <row r="417" spans="12:13">
      <c r="L417" s="69">
        <v>111994</v>
      </c>
      <c r="M417" t="s">
        <v>613</v>
      </c>
    </row>
    <row r="418" spans="12:13">
      <c r="L418" s="69">
        <v>112000</v>
      </c>
      <c r="M418" t="s">
        <v>614</v>
      </c>
    </row>
    <row r="419" spans="12:13">
      <c r="L419" s="69">
        <v>112100</v>
      </c>
      <c r="M419" t="s">
        <v>615</v>
      </c>
    </row>
    <row r="420" spans="12:13">
      <c r="L420" s="69">
        <v>112110</v>
      </c>
      <c r="M420" t="s">
        <v>615</v>
      </c>
    </row>
    <row r="421" spans="12:13">
      <c r="L421" s="69">
        <v>112111</v>
      </c>
      <c r="M421" t="s">
        <v>615</v>
      </c>
    </row>
    <row r="422" spans="12:13">
      <c r="L422" s="69">
        <v>112190</v>
      </c>
      <c r="M422" t="s">
        <v>616</v>
      </c>
    </row>
    <row r="423" spans="12:13">
      <c r="L423" s="69">
        <v>112191</v>
      </c>
      <c r="M423" t="s">
        <v>616</v>
      </c>
    </row>
    <row r="424" spans="12:13">
      <c r="L424" s="69">
        <v>112200</v>
      </c>
      <c r="M424" t="s">
        <v>617</v>
      </c>
    </row>
    <row r="425" spans="12:13">
      <c r="L425" s="69">
        <v>112210</v>
      </c>
      <c r="M425" t="s">
        <v>617</v>
      </c>
    </row>
    <row r="426" spans="12:13">
      <c r="L426" s="69">
        <v>112211</v>
      </c>
      <c r="M426" t="s">
        <v>617</v>
      </c>
    </row>
    <row r="427" spans="12:13">
      <c r="L427" s="69">
        <v>112290</v>
      </c>
      <c r="M427" t="s">
        <v>618</v>
      </c>
    </row>
    <row r="428" spans="12:13">
      <c r="L428" s="69">
        <v>112291</v>
      </c>
      <c r="M428" t="s">
        <v>618</v>
      </c>
    </row>
    <row r="429" spans="12:13">
      <c r="L429" s="69">
        <v>112300</v>
      </c>
      <c r="M429" t="s">
        <v>619</v>
      </c>
    </row>
    <row r="430" spans="12:13">
      <c r="L430" s="69">
        <v>112310</v>
      </c>
      <c r="M430" t="s">
        <v>619</v>
      </c>
    </row>
    <row r="431" spans="12:13">
      <c r="L431" s="69">
        <v>112311</v>
      </c>
      <c r="M431" t="s">
        <v>619</v>
      </c>
    </row>
    <row r="432" spans="12:13">
      <c r="L432" s="69">
        <v>112390</v>
      </c>
      <c r="M432" t="s">
        <v>620</v>
      </c>
    </row>
    <row r="433" spans="12:13">
      <c r="L433" s="69">
        <v>112391</v>
      </c>
      <c r="M433" t="s">
        <v>620</v>
      </c>
    </row>
    <row r="434" spans="12:13">
      <c r="L434" s="69">
        <v>112400</v>
      </c>
      <c r="M434" t="s">
        <v>621</v>
      </c>
    </row>
    <row r="435" spans="12:13">
      <c r="L435" s="69">
        <v>112410</v>
      </c>
      <c r="M435" t="s">
        <v>621</v>
      </c>
    </row>
    <row r="436" spans="12:13">
      <c r="L436" s="69">
        <v>112411</v>
      </c>
      <c r="M436" t="s">
        <v>621</v>
      </c>
    </row>
    <row r="437" spans="12:13">
      <c r="L437" s="69">
        <v>112490</v>
      </c>
      <c r="M437" t="s">
        <v>622</v>
      </c>
    </row>
    <row r="438" spans="12:13">
      <c r="L438" s="69">
        <v>112491</v>
      </c>
      <c r="M438" t="s">
        <v>622</v>
      </c>
    </row>
    <row r="439" spans="12:13">
      <c r="L439" s="69">
        <v>112500</v>
      </c>
      <c r="M439" t="s">
        <v>623</v>
      </c>
    </row>
    <row r="440" spans="12:13">
      <c r="L440" s="69">
        <v>112510</v>
      </c>
      <c r="M440" t="s">
        <v>623</v>
      </c>
    </row>
    <row r="441" spans="12:13">
      <c r="L441" s="69">
        <v>112511</v>
      </c>
      <c r="M441" t="s">
        <v>623</v>
      </c>
    </row>
    <row r="442" spans="12:13">
      <c r="L442" s="69">
        <v>112590</v>
      </c>
      <c r="M442" t="s">
        <v>624</v>
      </c>
    </row>
    <row r="443" spans="12:13">
      <c r="L443" s="69">
        <v>112591</v>
      </c>
      <c r="M443" t="s">
        <v>624</v>
      </c>
    </row>
    <row r="444" spans="12:13">
      <c r="L444" s="69">
        <v>112600</v>
      </c>
      <c r="M444" t="s">
        <v>625</v>
      </c>
    </row>
    <row r="445" spans="12:13">
      <c r="L445" s="69">
        <v>112610</v>
      </c>
      <c r="M445" t="s">
        <v>625</v>
      </c>
    </row>
    <row r="446" spans="12:13">
      <c r="L446" s="69">
        <v>112611</v>
      </c>
      <c r="M446" t="s">
        <v>626</v>
      </c>
    </row>
    <row r="447" spans="12:13">
      <c r="L447" s="69">
        <v>112612</v>
      </c>
      <c r="M447" t="s">
        <v>627</v>
      </c>
    </row>
    <row r="448" spans="12:13">
      <c r="L448" s="69">
        <v>112690</v>
      </c>
      <c r="M448" t="s">
        <v>628</v>
      </c>
    </row>
    <row r="449" spans="12:13">
      <c r="L449" s="69">
        <v>112691</v>
      </c>
      <c r="M449" t="s">
        <v>628</v>
      </c>
    </row>
    <row r="450" spans="12:13">
      <c r="L450" s="69">
        <v>112700</v>
      </c>
      <c r="M450" t="s">
        <v>629</v>
      </c>
    </row>
    <row r="451" spans="12:13">
      <c r="L451" s="69">
        <v>112710</v>
      </c>
      <c r="M451" t="s">
        <v>630</v>
      </c>
    </row>
    <row r="452" spans="12:13">
      <c r="L452" s="69">
        <v>112711</v>
      </c>
      <c r="M452" t="s">
        <v>630</v>
      </c>
    </row>
    <row r="453" spans="12:13">
      <c r="L453" s="69">
        <v>112720</v>
      </c>
      <c r="M453" t="s">
        <v>631</v>
      </c>
    </row>
    <row r="454" spans="12:13">
      <c r="L454" s="69">
        <v>112721</v>
      </c>
      <c r="M454" t="s">
        <v>631</v>
      </c>
    </row>
    <row r="455" spans="12:13">
      <c r="L455" s="69">
        <v>112790</v>
      </c>
      <c r="M455" t="s">
        <v>632</v>
      </c>
    </row>
    <row r="456" spans="12:13">
      <c r="L456" s="69">
        <v>112791</v>
      </c>
      <c r="M456" t="s">
        <v>633</v>
      </c>
    </row>
    <row r="457" spans="12:13">
      <c r="L457" s="69">
        <v>112792</v>
      </c>
      <c r="M457" t="s">
        <v>634</v>
      </c>
    </row>
    <row r="458" spans="12:13">
      <c r="L458" s="69">
        <v>112800</v>
      </c>
      <c r="M458" t="s">
        <v>635</v>
      </c>
    </row>
    <row r="459" spans="12:13">
      <c r="L459" s="69">
        <v>112810</v>
      </c>
      <c r="M459" t="s">
        <v>635</v>
      </c>
    </row>
    <row r="460" spans="12:13">
      <c r="L460" s="69">
        <v>112811</v>
      </c>
      <c r="M460" t="s">
        <v>635</v>
      </c>
    </row>
    <row r="461" spans="12:13">
      <c r="L461" s="69">
        <v>120000</v>
      </c>
      <c r="M461" t="s">
        <v>636</v>
      </c>
    </row>
    <row r="462" spans="12:13">
      <c r="L462" s="69">
        <v>121000</v>
      </c>
      <c r="M462" t="s">
        <v>637</v>
      </c>
    </row>
    <row r="463" spans="12:13">
      <c r="L463" s="69">
        <v>121100</v>
      </c>
      <c r="M463" t="s">
        <v>638</v>
      </c>
    </row>
    <row r="464" spans="12:13">
      <c r="L464" s="69">
        <v>121110</v>
      </c>
      <c r="M464" t="s">
        <v>638</v>
      </c>
    </row>
    <row r="465" spans="12:13">
      <c r="L465" s="69">
        <v>121111</v>
      </c>
      <c r="M465" t="s">
        <v>639</v>
      </c>
    </row>
    <row r="466" spans="12:13">
      <c r="L466" s="69">
        <v>121112</v>
      </c>
      <c r="M466" t="s">
        <v>640</v>
      </c>
    </row>
    <row r="467" spans="12:13">
      <c r="L467" s="69">
        <v>121113</v>
      </c>
      <c r="M467" t="s">
        <v>641</v>
      </c>
    </row>
    <row r="468" spans="12:13">
      <c r="L468" s="69">
        <v>121200</v>
      </c>
      <c r="M468" t="s">
        <v>642</v>
      </c>
    </row>
    <row r="469" spans="12:13">
      <c r="L469" s="69">
        <v>121210</v>
      </c>
      <c r="M469" t="s">
        <v>642</v>
      </c>
    </row>
    <row r="470" spans="12:13">
      <c r="L470" s="69">
        <v>121211</v>
      </c>
      <c r="M470" t="s">
        <v>643</v>
      </c>
    </row>
    <row r="471" spans="12:13">
      <c r="L471" s="69">
        <v>121212</v>
      </c>
      <c r="M471" t="s">
        <v>644</v>
      </c>
    </row>
    <row r="472" spans="12:13">
      <c r="L472" s="69">
        <v>121213</v>
      </c>
      <c r="M472" t="s">
        <v>645</v>
      </c>
    </row>
    <row r="473" spans="12:13">
      <c r="L473" s="69">
        <v>121214</v>
      </c>
      <c r="M473" t="s">
        <v>646</v>
      </c>
    </row>
    <row r="474" spans="12:13">
      <c r="L474" s="69">
        <v>121215</v>
      </c>
      <c r="M474" t="s">
        <v>647</v>
      </c>
    </row>
    <row r="475" spans="12:13">
      <c r="L475" s="69">
        <v>121216</v>
      </c>
      <c r="M475" t="s">
        <v>648</v>
      </c>
    </row>
    <row r="476" spans="12:13">
      <c r="L476" s="69">
        <v>121217</v>
      </c>
      <c r="M476" t="s">
        <v>649</v>
      </c>
    </row>
    <row r="477" spans="12:13">
      <c r="L477" s="69">
        <v>121218</v>
      </c>
      <c r="M477" t="s">
        <v>650</v>
      </c>
    </row>
    <row r="478" spans="12:13">
      <c r="L478" s="69">
        <v>121219</v>
      </c>
      <c r="M478" t="s">
        <v>651</v>
      </c>
    </row>
    <row r="479" spans="12:13">
      <c r="L479" s="69">
        <v>121300</v>
      </c>
      <c r="M479" t="s">
        <v>652</v>
      </c>
    </row>
    <row r="480" spans="12:13">
      <c r="L480" s="69">
        <v>121310</v>
      </c>
      <c r="M480" t="s">
        <v>652</v>
      </c>
    </row>
    <row r="481" spans="12:13">
      <c r="L481" s="69">
        <v>121311</v>
      </c>
      <c r="M481" t="s">
        <v>653</v>
      </c>
    </row>
    <row r="482" spans="12:13">
      <c r="L482" s="69">
        <v>121312</v>
      </c>
      <c r="M482" t="s">
        <v>654</v>
      </c>
    </row>
    <row r="483" spans="12:13">
      <c r="L483" s="69">
        <v>121313</v>
      </c>
      <c r="M483" t="s">
        <v>655</v>
      </c>
    </row>
    <row r="484" spans="12:13">
      <c r="L484" s="69">
        <v>121314</v>
      </c>
      <c r="M484" t="s">
        <v>656</v>
      </c>
    </row>
    <row r="485" spans="12:13">
      <c r="L485" s="69">
        <v>121315</v>
      </c>
      <c r="M485" t="s">
        <v>657</v>
      </c>
    </row>
    <row r="486" spans="12:13">
      <c r="L486" s="69">
        <v>121319</v>
      </c>
      <c r="M486" t="s">
        <v>658</v>
      </c>
    </row>
    <row r="487" spans="12:13">
      <c r="L487" s="69">
        <v>121400</v>
      </c>
      <c r="M487" t="s">
        <v>659</v>
      </c>
    </row>
    <row r="488" spans="12:13">
      <c r="L488" s="69">
        <v>121410</v>
      </c>
      <c r="M488" t="s">
        <v>659</v>
      </c>
    </row>
    <row r="489" spans="12:13">
      <c r="L489" s="69">
        <v>121411</v>
      </c>
      <c r="M489" t="s">
        <v>660</v>
      </c>
    </row>
    <row r="490" spans="12:13">
      <c r="L490" s="69">
        <v>121412</v>
      </c>
      <c r="M490" t="s">
        <v>661</v>
      </c>
    </row>
    <row r="491" spans="12:13">
      <c r="L491" s="69">
        <v>121413</v>
      </c>
      <c r="M491" t="s">
        <v>662</v>
      </c>
    </row>
    <row r="492" spans="12:13">
      <c r="L492" s="69">
        <v>121414</v>
      </c>
      <c r="M492" t="s">
        <v>663</v>
      </c>
    </row>
    <row r="493" spans="12:13">
      <c r="L493" s="69">
        <v>121418</v>
      </c>
      <c r="M493" t="s">
        <v>664</v>
      </c>
    </row>
    <row r="494" spans="12:13">
      <c r="L494" s="69">
        <v>121419</v>
      </c>
      <c r="M494" t="s">
        <v>665</v>
      </c>
    </row>
    <row r="495" spans="12:13">
      <c r="L495" s="69">
        <v>121500</v>
      </c>
      <c r="M495" t="s">
        <v>666</v>
      </c>
    </row>
    <row r="496" spans="12:13">
      <c r="L496" s="69">
        <v>121510</v>
      </c>
      <c r="M496" t="s">
        <v>666</v>
      </c>
    </row>
    <row r="497" spans="12:13">
      <c r="L497" s="69">
        <v>121511</v>
      </c>
      <c r="M497" t="s">
        <v>667</v>
      </c>
    </row>
    <row r="498" spans="12:13">
      <c r="L498" s="69">
        <v>121512</v>
      </c>
      <c r="M498" t="s">
        <v>668</v>
      </c>
    </row>
    <row r="499" spans="12:13">
      <c r="L499" s="69">
        <v>121513</v>
      </c>
      <c r="M499" t="s">
        <v>669</v>
      </c>
    </row>
    <row r="500" spans="12:13">
      <c r="L500" s="69">
        <v>121518</v>
      </c>
      <c r="M500" t="s">
        <v>670</v>
      </c>
    </row>
    <row r="501" spans="12:13">
      <c r="L501" s="69">
        <v>121600</v>
      </c>
      <c r="M501" t="s">
        <v>671</v>
      </c>
    </row>
    <row r="502" spans="12:13">
      <c r="L502" s="69">
        <v>121610</v>
      </c>
      <c r="M502" t="s">
        <v>671</v>
      </c>
    </row>
    <row r="503" spans="12:13">
      <c r="L503" s="69">
        <v>121611</v>
      </c>
      <c r="M503" t="s">
        <v>672</v>
      </c>
    </row>
    <row r="504" spans="12:13">
      <c r="L504" s="69">
        <v>121612</v>
      </c>
      <c r="M504" t="s">
        <v>673</v>
      </c>
    </row>
    <row r="505" spans="12:13">
      <c r="L505" s="69">
        <v>121618</v>
      </c>
      <c r="M505" t="s">
        <v>674</v>
      </c>
    </row>
    <row r="506" spans="12:13">
      <c r="L506" s="69">
        <v>121619</v>
      </c>
      <c r="M506" t="s">
        <v>675</v>
      </c>
    </row>
    <row r="507" spans="12:13">
      <c r="L507" s="69">
        <v>121700</v>
      </c>
      <c r="M507" t="s">
        <v>676</v>
      </c>
    </row>
    <row r="508" spans="12:13">
      <c r="L508" s="69">
        <v>121710</v>
      </c>
      <c r="M508" t="s">
        <v>676</v>
      </c>
    </row>
    <row r="509" spans="12:13">
      <c r="L509" s="69">
        <v>121711</v>
      </c>
      <c r="M509" t="s">
        <v>677</v>
      </c>
    </row>
    <row r="510" spans="12:13">
      <c r="L510" s="69">
        <v>121712</v>
      </c>
      <c r="M510" t="s">
        <v>678</v>
      </c>
    </row>
    <row r="511" spans="12:13">
      <c r="L511" s="69">
        <v>121713</v>
      </c>
      <c r="M511" t="s">
        <v>679</v>
      </c>
    </row>
    <row r="512" spans="12:13">
      <c r="L512" s="69">
        <v>121714</v>
      </c>
      <c r="M512" t="s">
        <v>680</v>
      </c>
    </row>
    <row r="513" spans="12:13">
      <c r="L513" s="69">
        <v>121715</v>
      </c>
      <c r="M513" t="s">
        <v>681</v>
      </c>
    </row>
    <row r="514" spans="12:13">
      <c r="L514" s="69">
        <v>121716</v>
      </c>
      <c r="M514" t="s">
        <v>682</v>
      </c>
    </row>
    <row r="515" spans="12:13">
      <c r="L515" s="69">
        <v>121717</v>
      </c>
      <c r="M515" t="s">
        <v>683</v>
      </c>
    </row>
    <row r="516" spans="12:13">
      <c r="L516" s="69">
        <v>121718</v>
      </c>
      <c r="M516" t="s">
        <v>684</v>
      </c>
    </row>
    <row r="517" spans="12:13">
      <c r="L517" s="69">
        <v>121719</v>
      </c>
      <c r="M517" t="s">
        <v>676</v>
      </c>
    </row>
    <row r="518" spans="12:13">
      <c r="L518" s="69">
        <v>121800</v>
      </c>
      <c r="M518" t="s">
        <v>685</v>
      </c>
    </row>
    <row r="519" spans="12:13">
      <c r="L519" s="69">
        <v>121810</v>
      </c>
      <c r="M519" t="s">
        <v>685</v>
      </c>
    </row>
    <row r="520" spans="12:13">
      <c r="L520" s="69">
        <v>121811</v>
      </c>
      <c r="M520" t="s">
        <v>686</v>
      </c>
    </row>
    <row r="521" spans="12:13">
      <c r="L521" s="69">
        <v>121812</v>
      </c>
      <c r="M521" t="s">
        <v>687</v>
      </c>
    </row>
    <row r="522" spans="12:13">
      <c r="L522" s="69">
        <v>121900</v>
      </c>
      <c r="M522" t="s">
        <v>688</v>
      </c>
    </row>
    <row r="523" spans="12:13">
      <c r="L523" s="69">
        <v>121910</v>
      </c>
      <c r="M523" t="s">
        <v>689</v>
      </c>
    </row>
    <row r="524" spans="12:13">
      <c r="L524" s="69">
        <v>121911</v>
      </c>
      <c r="M524" t="s">
        <v>690</v>
      </c>
    </row>
    <row r="525" spans="12:13">
      <c r="L525" s="69">
        <v>121912</v>
      </c>
      <c r="M525" t="s">
        <v>691</v>
      </c>
    </row>
    <row r="526" spans="12:13">
      <c r="L526" s="69">
        <v>121913</v>
      </c>
      <c r="M526" t="s">
        <v>692</v>
      </c>
    </row>
    <row r="527" spans="12:13">
      <c r="L527" s="69">
        <v>121914</v>
      </c>
      <c r="M527" t="s">
        <v>693</v>
      </c>
    </row>
    <row r="528" spans="12:13">
      <c r="L528" s="69">
        <v>121915</v>
      </c>
      <c r="M528" t="s">
        <v>694</v>
      </c>
    </row>
    <row r="529" spans="12:13">
      <c r="L529" s="69">
        <v>121916</v>
      </c>
      <c r="M529" t="s">
        <v>695</v>
      </c>
    </row>
    <row r="530" spans="12:13">
      <c r="L530" s="69">
        <v>121917</v>
      </c>
      <c r="M530" t="s">
        <v>696</v>
      </c>
    </row>
    <row r="531" spans="12:13">
      <c r="L531" s="69">
        <v>121920</v>
      </c>
      <c r="M531" t="s">
        <v>697</v>
      </c>
    </row>
    <row r="532" spans="12:13">
      <c r="L532" s="69">
        <v>121921</v>
      </c>
      <c r="M532" t="s">
        <v>698</v>
      </c>
    </row>
    <row r="533" spans="12:13">
      <c r="L533" s="69">
        <v>121922</v>
      </c>
      <c r="M533" t="s">
        <v>699</v>
      </c>
    </row>
    <row r="534" spans="12:13">
      <c r="L534" s="69">
        <v>121990</v>
      </c>
      <c r="M534" t="s">
        <v>700</v>
      </c>
    </row>
    <row r="535" spans="12:13">
      <c r="L535" s="69">
        <v>121991</v>
      </c>
      <c r="M535" t="s">
        <v>701</v>
      </c>
    </row>
    <row r="536" spans="12:13">
      <c r="L536" s="69">
        <v>121992</v>
      </c>
      <c r="M536" t="s">
        <v>702</v>
      </c>
    </row>
    <row r="537" spans="12:13">
      <c r="L537" s="69">
        <v>122000</v>
      </c>
      <c r="M537" t="s">
        <v>703</v>
      </c>
    </row>
    <row r="538" spans="12:13">
      <c r="L538" s="69">
        <v>122100</v>
      </c>
      <c r="M538" t="s">
        <v>704</v>
      </c>
    </row>
    <row r="539" spans="12:13">
      <c r="L539" s="69">
        <v>122110</v>
      </c>
      <c r="M539" t="s">
        <v>705</v>
      </c>
    </row>
    <row r="540" spans="12:13">
      <c r="L540" s="69">
        <v>122111</v>
      </c>
      <c r="M540" t="s">
        <v>706</v>
      </c>
    </row>
    <row r="541" spans="12:13">
      <c r="L541" s="69">
        <v>122112</v>
      </c>
      <c r="M541" t="s">
        <v>707</v>
      </c>
    </row>
    <row r="542" spans="12:13">
      <c r="L542" s="69">
        <v>122113</v>
      </c>
      <c r="M542" t="s">
        <v>708</v>
      </c>
    </row>
    <row r="543" spans="12:13">
      <c r="L543" s="69">
        <v>122119</v>
      </c>
      <c r="M543" t="s">
        <v>709</v>
      </c>
    </row>
    <row r="544" spans="12:13">
      <c r="L544" s="69">
        <v>122120</v>
      </c>
      <c r="M544" t="s">
        <v>710</v>
      </c>
    </row>
    <row r="545" spans="12:13">
      <c r="L545" s="69">
        <v>122121</v>
      </c>
      <c r="M545" t="s">
        <v>706</v>
      </c>
    </row>
    <row r="546" spans="12:13">
      <c r="L546" s="69">
        <v>122122</v>
      </c>
      <c r="M546" t="s">
        <v>708</v>
      </c>
    </row>
    <row r="547" spans="12:13">
      <c r="L547" s="69">
        <v>122129</v>
      </c>
      <c r="M547" t="s">
        <v>711</v>
      </c>
    </row>
    <row r="548" spans="12:13">
      <c r="L548" s="69">
        <v>122130</v>
      </c>
      <c r="M548" t="s">
        <v>712</v>
      </c>
    </row>
    <row r="549" spans="12:13">
      <c r="L549" s="69">
        <v>122131</v>
      </c>
      <c r="M549" t="s">
        <v>713</v>
      </c>
    </row>
    <row r="550" spans="12:13">
      <c r="L550" s="69">
        <v>122132</v>
      </c>
      <c r="M550" t="s">
        <v>714</v>
      </c>
    </row>
    <row r="551" spans="12:13">
      <c r="L551" s="69">
        <v>122133</v>
      </c>
      <c r="M551" t="s">
        <v>715</v>
      </c>
    </row>
    <row r="552" spans="12:13">
      <c r="L552" s="69">
        <v>122139</v>
      </c>
      <c r="M552" t="s">
        <v>716</v>
      </c>
    </row>
    <row r="553" spans="12:13">
      <c r="L553" s="69">
        <v>122140</v>
      </c>
      <c r="M553" t="s">
        <v>717</v>
      </c>
    </row>
    <row r="554" spans="12:13">
      <c r="L554" s="69">
        <v>122141</v>
      </c>
      <c r="M554" t="s">
        <v>718</v>
      </c>
    </row>
    <row r="555" spans="12:13">
      <c r="L555" s="69">
        <v>122142</v>
      </c>
      <c r="M555" t="s">
        <v>719</v>
      </c>
    </row>
    <row r="556" spans="12:13">
      <c r="L556" s="69">
        <v>122143</v>
      </c>
      <c r="M556" t="s">
        <v>720</v>
      </c>
    </row>
    <row r="557" spans="12:13">
      <c r="L557" s="69">
        <v>122144</v>
      </c>
      <c r="M557" t="s">
        <v>721</v>
      </c>
    </row>
    <row r="558" spans="12:13">
      <c r="L558" s="69">
        <v>122145</v>
      </c>
      <c r="M558" t="s">
        <v>722</v>
      </c>
    </row>
    <row r="559" spans="12:13">
      <c r="L559" s="69">
        <v>122146</v>
      </c>
      <c r="M559" t="s">
        <v>723</v>
      </c>
    </row>
    <row r="560" spans="12:13">
      <c r="L560" s="69">
        <v>122147</v>
      </c>
      <c r="M560" t="s">
        <v>724</v>
      </c>
    </row>
    <row r="561" spans="12:13">
      <c r="L561" s="69">
        <v>122148</v>
      </c>
      <c r="M561" t="s">
        <v>725</v>
      </c>
    </row>
    <row r="562" spans="12:13">
      <c r="L562" s="69">
        <v>122149</v>
      </c>
      <c r="M562" t="s">
        <v>726</v>
      </c>
    </row>
    <row r="563" spans="12:13">
      <c r="L563" s="69">
        <v>122150</v>
      </c>
      <c r="M563" t="s">
        <v>727</v>
      </c>
    </row>
    <row r="564" spans="12:13">
      <c r="L564" s="69">
        <v>122151</v>
      </c>
      <c r="M564" t="s">
        <v>728</v>
      </c>
    </row>
    <row r="565" spans="12:13">
      <c r="L565" s="69">
        <v>122152</v>
      </c>
      <c r="M565" t="s">
        <v>729</v>
      </c>
    </row>
    <row r="566" spans="12:13">
      <c r="L566" s="69">
        <v>122153</v>
      </c>
      <c r="M566" t="s">
        <v>730</v>
      </c>
    </row>
    <row r="567" spans="12:13">
      <c r="L567" s="69">
        <v>122154</v>
      </c>
      <c r="M567" t="s">
        <v>731</v>
      </c>
    </row>
    <row r="568" spans="12:13">
      <c r="L568" s="69">
        <v>122155</v>
      </c>
      <c r="M568" t="s">
        <v>732</v>
      </c>
    </row>
    <row r="569" spans="12:13">
      <c r="L569" s="69">
        <v>122156</v>
      </c>
      <c r="M569" t="s">
        <v>733</v>
      </c>
    </row>
    <row r="570" spans="12:13">
      <c r="L570" s="69">
        <v>122157</v>
      </c>
      <c r="M570" t="s">
        <v>734</v>
      </c>
    </row>
    <row r="571" spans="12:13">
      <c r="L571" s="69">
        <v>122159</v>
      </c>
      <c r="M571" t="s">
        <v>735</v>
      </c>
    </row>
    <row r="572" spans="12:13">
      <c r="L572" s="69">
        <v>122160</v>
      </c>
      <c r="M572" t="s">
        <v>736</v>
      </c>
    </row>
    <row r="573" spans="12:13">
      <c r="L573" s="69">
        <v>122161</v>
      </c>
      <c r="M573" t="s">
        <v>737</v>
      </c>
    </row>
    <row r="574" spans="12:13">
      <c r="L574" s="69">
        <v>122162</v>
      </c>
      <c r="M574" t="s">
        <v>738</v>
      </c>
    </row>
    <row r="575" spans="12:13">
      <c r="L575" s="69">
        <v>122163</v>
      </c>
      <c r="M575" t="s">
        <v>739</v>
      </c>
    </row>
    <row r="576" spans="12:13">
      <c r="L576" s="69">
        <v>122164</v>
      </c>
      <c r="M576" t="s">
        <v>740</v>
      </c>
    </row>
    <row r="577" spans="12:13">
      <c r="L577" s="69">
        <v>122165</v>
      </c>
      <c r="M577" t="s">
        <v>741</v>
      </c>
    </row>
    <row r="578" spans="12:13">
      <c r="L578" s="69">
        <v>122169</v>
      </c>
      <c r="M578" t="s">
        <v>742</v>
      </c>
    </row>
    <row r="579" spans="12:13">
      <c r="L579" s="69">
        <v>122190</v>
      </c>
      <c r="M579" t="s">
        <v>743</v>
      </c>
    </row>
    <row r="580" spans="12:13">
      <c r="L580" s="69">
        <v>122191</v>
      </c>
      <c r="M580" t="s">
        <v>744</v>
      </c>
    </row>
    <row r="581" spans="12:13">
      <c r="L581" s="69">
        <v>122192</v>
      </c>
      <c r="M581" t="s">
        <v>745</v>
      </c>
    </row>
    <row r="582" spans="12:13">
      <c r="L582" s="69">
        <v>122193</v>
      </c>
      <c r="M582" t="s">
        <v>746</v>
      </c>
    </row>
    <row r="583" spans="12:13">
      <c r="L583" s="69">
        <v>122194</v>
      </c>
      <c r="M583" t="s">
        <v>747</v>
      </c>
    </row>
    <row r="584" spans="12:13">
      <c r="L584" s="69">
        <v>122195</v>
      </c>
      <c r="M584" t="s">
        <v>748</v>
      </c>
    </row>
    <row r="585" spans="12:13">
      <c r="L585" s="69">
        <v>122196</v>
      </c>
      <c r="M585" t="s">
        <v>749</v>
      </c>
    </row>
    <row r="586" spans="12:13">
      <c r="L586" s="69">
        <v>122197</v>
      </c>
      <c r="M586" t="s">
        <v>734</v>
      </c>
    </row>
    <row r="587" spans="12:13">
      <c r="L587" s="69">
        <v>122198</v>
      </c>
      <c r="M587" t="s">
        <v>750</v>
      </c>
    </row>
    <row r="588" spans="12:13">
      <c r="L588" s="69">
        <v>122199</v>
      </c>
      <c r="M588" t="s">
        <v>751</v>
      </c>
    </row>
    <row r="589" spans="12:13">
      <c r="L589" s="69">
        <v>123000</v>
      </c>
      <c r="M589" t="s">
        <v>752</v>
      </c>
    </row>
    <row r="590" spans="12:13">
      <c r="L590" s="69">
        <v>123100</v>
      </c>
      <c r="M590" t="s">
        <v>753</v>
      </c>
    </row>
    <row r="591" spans="12:13">
      <c r="L591" s="69">
        <v>123110</v>
      </c>
      <c r="M591" t="s">
        <v>754</v>
      </c>
    </row>
    <row r="592" spans="12:13">
      <c r="L592" s="69">
        <v>123111</v>
      </c>
      <c r="M592" t="s">
        <v>755</v>
      </c>
    </row>
    <row r="593" spans="12:13">
      <c r="L593" s="69">
        <v>123112</v>
      </c>
      <c r="M593" t="s">
        <v>756</v>
      </c>
    </row>
    <row r="594" spans="12:13">
      <c r="L594" s="69">
        <v>123113</v>
      </c>
      <c r="M594" t="s">
        <v>757</v>
      </c>
    </row>
    <row r="595" spans="12:13">
      <c r="L595" s="69">
        <v>123119</v>
      </c>
      <c r="M595" t="s">
        <v>758</v>
      </c>
    </row>
    <row r="596" spans="12:13">
      <c r="L596" s="69">
        <v>123120</v>
      </c>
      <c r="M596" t="s">
        <v>759</v>
      </c>
    </row>
    <row r="597" spans="12:13">
      <c r="L597" s="69">
        <v>123121</v>
      </c>
      <c r="M597" t="s">
        <v>760</v>
      </c>
    </row>
    <row r="598" spans="12:13">
      <c r="L598" s="69">
        <v>123122</v>
      </c>
      <c r="M598" t="s">
        <v>761</v>
      </c>
    </row>
    <row r="599" spans="12:13">
      <c r="L599" s="69">
        <v>123129</v>
      </c>
      <c r="M599" t="s">
        <v>762</v>
      </c>
    </row>
    <row r="600" spans="12:13">
      <c r="L600" s="69">
        <v>123130</v>
      </c>
      <c r="M600" t="s">
        <v>734</v>
      </c>
    </row>
    <row r="601" spans="12:13">
      <c r="L601" s="69">
        <v>123131</v>
      </c>
      <c r="M601" t="s">
        <v>734</v>
      </c>
    </row>
    <row r="602" spans="12:13">
      <c r="L602" s="69">
        <v>123190</v>
      </c>
      <c r="M602" t="s">
        <v>763</v>
      </c>
    </row>
    <row r="603" spans="12:13">
      <c r="L603" s="69">
        <v>123191</v>
      </c>
      <c r="M603" t="s">
        <v>763</v>
      </c>
    </row>
    <row r="604" spans="12:13">
      <c r="L604" s="69">
        <v>123200</v>
      </c>
      <c r="M604" t="s">
        <v>764</v>
      </c>
    </row>
    <row r="605" spans="12:13">
      <c r="L605" s="69">
        <v>123210</v>
      </c>
      <c r="M605" t="s">
        <v>765</v>
      </c>
    </row>
    <row r="606" spans="12:13">
      <c r="L606" s="69">
        <v>123211</v>
      </c>
      <c r="M606" t="s">
        <v>765</v>
      </c>
    </row>
    <row r="607" spans="12:13">
      <c r="L607" s="69">
        <v>123220</v>
      </c>
      <c r="M607" t="s">
        <v>766</v>
      </c>
    </row>
    <row r="608" spans="12:13">
      <c r="L608" s="69">
        <v>123221</v>
      </c>
      <c r="M608" t="s">
        <v>766</v>
      </c>
    </row>
    <row r="609" spans="12:13">
      <c r="L609" s="69">
        <v>123230</v>
      </c>
      <c r="M609" t="s">
        <v>767</v>
      </c>
    </row>
    <row r="610" spans="12:13">
      <c r="L610" s="69">
        <v>123231</v>
      </c>
      <c r="M610" t="s">
        <v>767</v>
      </c>
    </row>
    <row r="611" spans="12:13">
      <c r="L611" s="69">
        <v>123240</v>
      </c>
      <c r="M611" t="s">
        <v>768</v>
      </c>
    </row>
    <row r="612" spans="12:13">
      <c r="L612" s="69">
        <v>123241</v>
      </c>
      <c r="M612" t="s">
        <v>768</v>
      </c>
    </row>
    <row r="613" spans="12:13">
      <c r="L613" s="69">
        <v>123250</v>
      </c>
      <c r="M613" t="s">
        <v>769</v>
      </c>
    </row>
    <row r="614" spans="12:13">
      <c r="L614" s="69">
        <v>123251</v>
      </c>
      <c r="M614" t="s">
        <v>769</v>
      </c>
    </row>
    <row r="615" spans="12:13">
      <c r="L615" s="69">
        <v>123260</v>
      </c>
      <c r="M615" t="s">
        <v>770</v>
      </c>
    </row>
    <row r="616" spans="12:13">
      <c r="L616" s="69">
        <v>123261</v>
      </c>
      <c r="M616" t="s">
        <v>770</v>
      </c>
    </row>
    <row r="617" spans="12:13">
      <c r="L617" s="69">
        <v>123290</v>
      </c>
      <c r="M617" t="s">
        <v>771</v>
      </c>
    </row>
    <row r="618" spans="12:13">
      <c r="L618" s="69">
        <v>123291</v>
      </c>
      <c r="M618" t="s">
        <v>771</v>
      </c>
    </row>
    <row r="619" spans="12:13">
      <c r="L619" s="69">
        <v>123300</v>
      </c>
      <c r="M619" t="s">
        <v>772</v>
      </c>
    </row>
    <row r="620" spans="12:13">
      <c r="L620" s="69">
        <v>123310</v>
      </c>
      <c r="M620" t="s">
        <v>773</v>
      </c>
    </row>
    <row r="621" spans="12:13">
      <c r="L621" s="69">
        <v>123311</v>
      </c>
      <c r="M621" t="s">
        <v>773</v>
      </c>
    </row>
    <row r="622" spans="12:13">
      <c r="L622" s="69">
        <v>123320</v>
      </c>
      <c r="M622" t="s">
        <v>698</v>
      </c>
    </row>
    <row r="623" spans="12:13">
      <c r="L623" s="69">
        <v>123321</v>
      </c>
      <c r="M623" t="s">
        <v>698</v>
      </c>
    </row>
    <row r="624" spans="12:13">
      <c r="L624" s="69">
        <v>123330</v>
      </c>
      <c r="M624" t="s">
        <v>774</v>
      </c>
    </row>
    <row r="625" spans="12:13">
      <c r="L625" s="69">
        <v>123331</v>
      </c>
      <c r="M625" t="s">
        <v>774</v>
      </c>
    </row>
    <row r="626" spans="12:13">
      <c r="L626" s="69">
        <v>123340</v>
      </c>
      <c r="M626" t="s">
        <v>775</v>
      </c>
    </row>
    <row r="627" spans="12:13">
      <c r="L627" s="69">
        <v>123341</v>
      </c>
      <c r="M627" t="s">
        <v>775</v>
      </c>
    </row>
    <row r="628" spans="12:13">
      <c r="L628" s="69">
        <v>123350</v>
      </c>
      <c r="M628" t="s">
        <v>776</v>
      </c>
    </row>
    <row r="629" spans="12:13">
      <c r="L629" s="69">
        <v>123351</v>
      </c>
      <c r="M629" t="s">
        <v>776</v>
      </c>
    </row>
    <row r="630" spans="12:13">
      <c r="L630" s="69">
        <v>123360</v>
      </c>
      <c r="M630" t="s">
        <v>777</v>
      </c>
    </row>
    <row r="631" spans="12:13">
      <c r="L631" s="69">
        <v>123361</v>
      </c>
      <c r="M631" t="s">
        <v>777</v>
      </c>
    </row>
    <row r="632" spans="12:13">
      <c r="L632" s="69">
        <v>123370</v>
      </c>
      <c r="M632" t="s">
        <v>778</v>
      </c>
    </row>
    <row r="633" spans="12:13">
      <c r="L633" s="69">
        <v>123371</v>
      </c>
      <c r="M633" t="s">
        <v>778</v>
      </c>
    </row>
    <row r="634" spans="12:13">
      <c r="L634" s="69">
        <v>123380</v>
      </c>
      <c r="M634" t="s">
        <v>779</v>
      </c>
    </row>
    <row r="635" spans="12:13">
      <c r="L635" s="69">
        <v>123381</v>
      </c>
      <c r="M635" t="s">
        <v>779</v>
      </c>
    </row>
    <row r="636" spans="12:13">
      <c r="L636" s="69">
        <v>123390</v>
      </c>
      <c r="M636" t="s">
        <v>780</v>
      </c>
    </row>
    <row r="637" spans="12:13">
      <c r="L637" s="69">
        <v>123391</v>
      </c>
      <c r="M637" t="s">
        <v>780</v>
      </c>
    </row>
    <row r="638" spans="12:13">
      <c r="L638" s="69">
        <v>123900</v>
      </c>
      <c r="M638" t="s">
        <v>781</v>
      </c>
    </row>
    <row r="639" spans="12:13">
      <c r="L639" s="69">
        <v>123910</v>
      </c>
      <c r="M639" t="s">
        <v>782</v>
      </c>
    </row>
    <row r="640" spans="12:13">
      <c r="L640" s="69">
        <v>123911</v>
      </c>
      <c r="M640" t="s">
        <v>782</v>
      </c>
    </row>
    <row r="641" spans="12:13">
      <c r="L641" s="69">
        <v>123920</v>
      </c>
      <c r="M641" t="s">
        <v>783</v>
      </c>
    </row>
    <row r="642" spans="12:13">
      <c r="L642" s="69">
        <v>123921</v>
      </c>
      <c r="M642" t="s">
        <v>783</v>
      </c>
    </row>
    <row r="643" spans="12:13">
      <c r="L643" s="69">
        <v>123930</v>
      </c>
      <c r="M643" t="s">
        <v>784</v>
      </c>
    </row>
    <row r="644" spans="12:13">
      <c r="L644" s="69">
        <v>123931</v>
      </c>
      <c r="M644" t="s">
        <v>784</v>
      </c>
    </row>
    <row r="645" spans="12:13">
      <c r="L645" s="69">
        <v>123940</v>
      </c>
      <c r="M645" t="s">
        <v>785</v>
      </c>
    </row>
    <row r="646" spans="12:13">
      <c r="L646" s="69">
        <v>123941</v>
      </c>
      <c r="M646" t="s">
        <v>785</v>
      </c>
    </row>
    <row r="647" spans="12:13">
      <c r="L647" s="69">
        <v>123950</v>
      </c>
      <c r="M647" t="s">
        <v>786</v>
      </c>
    </row>
    <row r="648" spans="12:13">
      <c r="L648" s="69">
        <v>123951</v>
      </c>
      <c r="M648" t="s">
        <v>786</v>
      </c>
    </row>
    <row r="649" spans="12:13">
      <c r="L649" s="69">
        <v>123960</v>
      </c>
      <c r="M649" t="s">
        <v>787</v>
      </c>
    </row>
    <row r="650" spans="12:13">
      <c r="L650" s="69">
        <v>123961</v>
      </c>
      <c r="M650" t="s">
        <v>788</v>
      </c>
    </row>
    <row r="651" spans="12:13">
      <c r="L651" s="69">
        <v>123962</v>
      </c>
      <c r="M651" t="s">
        <v>789</v>
      </c>
    </row>
    <row r="652" spans="12:13">
      <c r="L652" s="69">
        <v>123963</v>
      </c>
      <c r="M652" t="s">
        <v>790</v>
      </c>
    </row>
    <row r="653" spans="12:13">
      <c r="L653" s="69">
        <v>123964</v>
      </c>
      <c r="M653" t="s">
        <v>791</v>
      </c>
    </row>
    <row r="654" spans="12:13">
      <c r="L654" s="69">
        <v>123965</v>
      </c>
      <c r="M654" t="s">
        <v>792</v>
      </c>
    </row>
    <row r="655" spans="12:13">
      <c r="L655" s="69">
        <v>123966</v>
      </c>
      <c r="M655" t="s">
        <v>793</v>
      </c>
    </row>
    <row r="656" spans="12:13">
      <c r="L656" s="69">
        <v>123967</v>
      </c>
      <c r="M656" t="s">
        <v>794</v>
      </c>
    </row>
    <row r="657" spans="12:13">
      <c r="L657" s="69">
        <v>123968</v>
      </c>
      <c r="M657" t="s">
        <v>795</v>
      </c>
    </row>
    <row r="658" spans="12:13">
      <c r="L658" s="69">
        <v>123969</v>
      </c>
      <c r="M658" t="s">
        <v>796</v>
      </c>
    </row>
    <row r="659" spans="12:13">
      <c r="L659" s="69">
        <v>123990</v>
      </c>
      <c r="M659" t="s">
        <v>797</v>
      </c>
    </row>
    <row r="660" spans="12:13">
      <c r="L660" s="69">
        <v>123991</v>
      </c>
      <c r="M660" t="s">
        <v>797</v>
      </c>
    </row>
    <row r="661" spans="12:13">
      <c r="L661" s="69">
        <v>130000</v>
      </c>
      <c r="M661" t="s">
        <v>798</v>
      </c>
    </row>
    <row r="662" spans="12:13">
      <c r="L662" s="69">
        <v>131000</v>
      </c>
      <c r="M662" t="s">
        <v>798</v>
      </c>
    </row>
    <row r="663" spans="12:13">
      <c r="L663" s="69">
        <v>131100</v>
      </c>
      <c r="M663" t="s">
        <v>799</v>
      </c>
    </row>
    <row r="664" spans="12:13">
      <c r="L664" s="69">
        <v>131110</v>
      </c>
      <c r="M664" t="s">
        <v>799</v>
      </c>
    </row>
    <row r="665" spans="12:13">
      <c r="L665" s="69">
        <v>131111</v>
      </c>
      <c r="M665" t="s">
        <v>800</v>
      </c>
    </row>
    <row r="666" spans="12:13">
      <c r="L666" s="69">
        <v>131112</v>
      </c>
      <c r="M666" t="s">
        <v>801</v>
      </c>
    </row>
    <row r="667" spans="12:13">
      <c r="L667" s="69">
        <v>131113</v>
      </c>
      <c r="M667" t="s">
        <v>802</v>
      </c>
    </row>
    <row r="668" spans="12:13">
      <c r="L668" s="69">
        <v>131114</v>
      </c>
      <c r="M668" t="s">
        <v>803</v>
      </c>
    </row>
    <row r="669" spans="12:13">
      <c r="L669" s="69">
        <v>131119</v>
      </c>
      <c r="M669" t="s">
        <v>804</v>
      </c>
    </row>
    <row r="670" spans="12:13">
      <c r="L670" s="69">
        <v>131200</v>
      </c>
      <c r="M670" t="s">
        <v>805</v>
      </c>
    </row>
    <row r="671" spans="12:13">
      <c r="L671" s="69">
        <v>131210</v>
      </c>
      <c r="M671" t="s">
        <v>805</v>
      </c>
    </row>
    <row r="672" spans="12:13">
      <c r="L672" s="69">
        <v>131211</v>
      </c>
      <c r="M672" t="s">
        <v>806</v>
      </c>
    </row>
    <row r="673" spans="12:13">
      <c r="L673" s="69">
        <v>131212</v>
      </c>
      <c r="M673" t="s">
        <v>807</v>
      </c>
    </row>
    <row r="674" spans="12:13">
      <c r="L674" s="69">
        <v>131300</v>
      </c>
      <c r="M674" t="s">
        <v>808</v>
      </c>
    </row>
    <row r="675" spans="12:13">
      <c r="L675" s="69">
        <v>131310</v>
      </c>
      <c r="M675" t="s">
        <v>808</v>
      </c>
    </row>
    <row r="676" spans="12:13">
      <c r="L676" s="69">
        <v>131311</v>
      </c>
      <c r="M676" t="s">
        <v>809</v>
      </c>
    </row>
    <row r="677" spans="12:13">
      <c r="L677" s="69">
        <v>131312</v>
      </c>
      <c r="M677" t="s">
        <v>808</v>
      </c>
    </row>
    <row r="678" spans="12:13">
      <c r="L678" s="69">
        <v>200000</v>
      </c>
      <c r="M678" t="s">
        <v>810</v>
      </c>
    </row>
    <row r="679" spans="12:13">
      <c r="L679" s="70">
        <v>210000</v>
      </c>
      <c r="M679" s="66" t="s">
        <v>811</v>
      </c>
    </row>
    <row r="680" spans="12:13">
      <c r="L680" s="69">
        <v>211000</v>
      </c>
      <c r="M680" t="s">
        <v>812</v>
      </c>
    </row>
    <row r="681" spans="12:13">
      <c r="L681" s="69">
        <v>211100</v>
      </c>
      <c r="M681" t="s">
        <v>813</v>
      </c>
    </row>
    <row r="682" spans="12:13">
      <c r="L682" s="69">
        <v>211110</v>
      </c>
      <c r="M682" t="s">
        <v>813</v>
      </c>
    </row>
    <row r="683" spans="12:13">
      <c r="L683" s="69">
        <v>211111</v>
      </c>
      <c r="M683" t="s">
        <v>813</v>
      </c>
    </row>
    <row r="684" spans="12:13">
      <c r="L684" s="69">
        <v>211200</v>
      </c>
      <c r="M684" t="s">
        <v>814</v>
      </c>
    </row>
    <row r="685" spans="12:13">
      <c r="L685" s="69">
        <v>211210</v>
      </c>
      <c r="M685" t="s">
        <v>815</v>
      </c>
    </row>
    <row r="686" spans="12:13">
      <c r="L686" s="69">
        <v>211211</v>
      </c>
      <c r="M686" t="s">
        <v>815</v>
      </c>
    </row>
    <row r="687" spans="12:13">
      <c r="L687" s="69">
        <v>211220</v>
      </c>
      <c r="M687" t="s">
        <v>816</v>
      </c>
    </row>
    <row r="688" spans="12:13">
      <c r="L688" s="69">
        <v>211221</v>
      </c>
      <c r="M688" t="s">
        <v>816</v>
      </c>
    </row>
    <row r="689" spans="12:13">
      <c r="L689" s="69">
        <v>211230</v>
      </c>
      <c r="M689" t="s">
        <v>817</v>
      </c>
    </row>
    <row r="690" spans="12:13">
      <c r="L690" s="69">
        <v>211231</v>
      </c>
      <c r="M690" t="s">
        <v>817</v>
      </c>
    </row>
    <row r="691" spans="12:13">
      <c r="L691" s="69">
        <v>211240</v>
      </c>
      <c r="M691" t="s">
        <v>818</v>
      </c>
    </row>
    <row r="692" spans="12:13">
      <c r="L692" s="69">
        <v>211241</v>
      </c>
      <c r="M692" t="s">
        <v>818</v>
      </c>
    </row>
    <row r="693" spans="12:13">
      <c r="L693" s="69">
        <v>211250</v>
      </c>
      <c r="M693" t="s">
        <v>819</v>
      </c>
    </row>
    <row r="694" spans="12:13">
      <c r="L694" s="69">
        <v>211251</v>
      </c>
      <c r="M694" t="s">
        <v>820</v>
      </c>
    </row>
    <row r="695" spans="12:13">
      <c r="L695" s="69">
        <v>211252</v>
      </c>
      <c r="M695" t="s">
        <v>821</v>
      </c>
    </row>
    <row r="696" spans="12:13">
      <c r="L696" s="69">
        <v>211255</v>
      </c>
      <c r="M696" t="s">
        <v>822</v>
      </c>
    </row>
    <row r="697" spans="12:13">
      <c r="L697" s="69">
        <v>211300</v>
      </c>
      <c r="M697" t="s">
        <v>823</v>
      </c>
    </row>
    <row r="698" spans="12:13">
      <c r="L698" s="69">
        <v>211310</v>
      </c>
      <c r="M698" t="s">
        <v>823</v>
      </c>
    </row>
    <row r="699" spans="12:13">
      <c r="L699" s="69">
        <v>211311</v>
      </c>
      <c r="M699" t="s">
        <v>824</v>
      </c>
    </row>
    <row r="700" spans="12:13">
      <c r="L700" s="69">
        <v>211390</v>
      </c>
      <c r="M700" t="s">
        <v>825</v>
      </c>
    </row>
    <row r="701" spans="12:13">
      <c r="L701" s="69">
        <v>211391</v>
      </c>
      <c r="M701" t="s">
        <v>825</v>
      </c>
    </row>
    <row r="702" spans="12:13">
      <c r="L702" s="69">
        <v>211400</v>
      </c>
      <c r="M702" t="s">
        <v>826</v>
      </c>
    </row>
    <row r="703" spans="12:13">
      <c r="L703" s="69">
        <v>211410</v>
      </c>
      <c r="M703" t="s">
        <v>826</v>
      </c>
    </row>
    <row r="704" spans="12:13">
      <c r="L704" s="69">
        <v>211411</v>
      </c>
      <c r="M704" t="s">
        <v>826</v>
      </c>
    </row>
    <row r="705" spans="12:13">
      <c r="L705" s="69">
        <v>211500</v>
      </c>
      <c r="M705" t="s">
        <v>827</v>
      </c>
    </row>
    <row r="706" spans="12:13">
      <c r="L706" s="69">
        <v>211510</v>
      </c>
      <c r="M706" t="s">
        <v>827</v>
      </c>
    </row>
    <row r="707" spans="12:13">
      <c r="L707" s="69">
        <v>211511</v>
      </c>
      <c r="M707" t="s">
        <v>827</v>
      </c>
    </row>
    <row r="708" spans="12:13">
      <c r="L708" s="69">
        <v>211600</v>
      </c>
      <c r="M708" t="s">
        <v>828</v>
      </c>
    </row>
    <row r="709" spans="12:13">
      <c r="L709" s="69">
        <v>211610</v>
      </c>
      <c r="M709" t="s">
        <v>828</v>
      </c>
    </row>
    <row r="710" spans="12:13">
      <c r="L710" s="69">
        <v>211611</v>
      </c>
      <c r="M710" t="s">
        <v>828</v>
      </c>
    </row>
    <row r="711" spans="12:13">
      <c r="L711" s="69">
        <v>211700</v>
      </c>
      <c r="M711" t="s">
        <v>829</v>
      </c>
    </row>
    <row r="712" spans="12:13">
      <c r="L712" s="69">
        <v>211710</v>
      </c>
      <c r="M712" t="s">
        <v>829</v>
      </c>
    </row>
    <row r="713" spans="12:13">
      <c r="L713" s="69">
        <v>211711</v>
      </c>
      <c r="M713" t="s">
        <v>829</v>
      </c>
    </row>
    <row r="714" spans="12:13">
      <c r="L714" s="69">
        <v>211800</v>
      </c>
      <c r="M714" t="s">
        <v>830</v>
      </c>
    </row>
    <row r="715" spans="12:13">
      <c r="L715" s="69">
        <v>211810</v>
      </c>
      <c r="M715" t="s">
        <v>830</v>
      </c>
    </row>
    <row r="716" spans="12:13">
      <c r="L716" s="69">
        <v>211811</v>
      </c>
      <c r="M716" t="s">
        <v>830</v>
      </c>
    </row>
    <row r="717" spans="12:13">
      <c r="L717" s="69">
        <v>211900</v>
      </c>
      <c r="M717" t="s">
        <v>831</v>
      </c>
    </row>
    <row r="718" spans="12:13">
      <c r="L718" s="69">
        <v>211910</v>
      </c>
      <c r="M718" t="s">
        <v>831</v>
      </c>
    </row>
    <row r="719" spans="12:13">
      <c r="L719" s="69">
        <v>211911</v>
      </c>
      <c r="M719" t="s">
        <v>832</v>
      </c>
    </row>
    <row r="720" spans="12:13">
      <c r="L720" s="69">
        <v>211912</v>
      </c>
      <c r="M720" t="s">
        <v>833</v>
      </c>
    </row>
    <row r="721" spans="12:13">
      <c r="L721" s="69">
        <v>211913</v>
      </c>
      <c r="M721" t="s">
        <v>834</v>
      </c>
    </row>
    <row r="722" spans="12:13">
      <c r="L722" s="69">
        <v>212000</v>
      </c>
      <c r="M722" t="s">
        <v>835</v>
      </c>
    </row>
    <row r="723" spans="12:13">
      <c r="L723" s="69">
        <v>212100</v>
      </c>
      <c r="M723" t="s">
        <v>836</v>
      </c>
    </row>
    <row r="724" spans="12:13">
      <c r="L724" s="69">
        <v>212110</v>
      </c>
      <c r="M724" t="s">
        <v>836</v>
      </c>
    </row>
    <row r="725" spans="12:13">
      <c r="L725" s="69">
        <v>212111</v>
      </c>
      <c r="M725" t="s">
        <v>836</v>
      </c>
    </row>
    <row r="726" spans="12:13">
      <c r="L726" s="69">
        <v>212200</v>
      </c>
      <c r="M726" t="s">
        <v>837</v>
      </c>
    </row>
    <row r="727" spans="12:13">
      <c r="L727" s="69">
        <v>212210</v>
      </c>
      <c r="M727" t="s">
        <v>838</v>
      </c>
    </row>
    <row r="728" spans="12:13">
      <c r="L728" s="69">
        <v>212211</v>
      </c>
      <c r="M728" t="s">
        <v>838</v>
      </c>
    </row>
    <row r="729" spans="12:13">
      <c r="L729" s="69">
        <v>212220</v>
      </c>
      <c r="M729" t="s">
        <v>839</v>
      </c>
    </row>
    <row r="730" spans="12:13">
      <c r="L730" s="69">
        <v>212221</v>
      </c>
      <c r="M730" t="s">
        <v>839</v>
      </c>
    </row>
    <row r="731" spans="12:13">
      <c r="L731" s="69">
        <v>212290</v>
      </c>
      <c r="M731" t="s">
        <v>840</v>
      </c>
    </row>
    <row r="732" spans="12:13">
      <c r="L732" s="69">
        <v>212291</v>
      </c>
      <c r="M732" t="s">
        <v>840</v>
      </c>
    </row>
    <row r="733" spans="12:13">
      <c r="L733" s="69">
        <v>212300</v>
      </c>
      <c r="M733" t="s">
        <v>841</v>
      </c>
    </row>
    <row r="734" spans="12:13">
      <c r="L734" s="69">
        <v>212310</v>
      </c>
      <c r="M734" t="s">
        <v>842</v>
      </c>
    </row>
    <row r="735" spans="12:13">
      <c r="L735" s="69">
        <v>212311</v>
      </c>
      <c r="M735" t="s">
        <v>842</v>
      </c>
    </row>
    <row r="736" spans="12:13">
      <c r="L736" s="69">
        <v>212320</v>
      </c>
      <c r="M736" t="s">
        <v>843</v>
      </c>
    </row>
    <row r="737" spans="12:13">
      <c r="L737" s="69">
        <v>212321</v>
      </c>
      <c r="M737" t="s">
        <v>843</v>
      </c>
    </row>
    <row r="738" spans="12:13">
      <c r="L738" s="69">
        <v>212330</v>
      </c>
      <c r="M738" t="s">
        <v>844</v>
      </c>
    </row>
    <row r="739" spans="12:13">
      <c r="L739" s="69">
        <v>212331</v>
      </c>
      <c r="M739" t="s">
        <v>844</v>
      </c>
    </row>
    <row r="740" spans="12:13">
      <c r="L740" s="69">
        <v>212340</v>
      </c>
      <c r="M740" t="s">
        <v>845</v>
      </c>
    </row>
    <row r="741" spans="12:13">
      <c r="L741" s="69">
        <v>212341</v>
      </c>
      <c r="M741" t="s">
        <v>845</v>
      </c>
    </row>
    <row r="742" spans="12:13">
      <c r="L742" s="69">
        <v>212350</v>
      </c>
      <c r="M742" t="s">
        <v>846</v>
      </c>
    </row>
    <row r="743" spans="12:13">
      <c r="L743" s="69">
        <v>212351</v>
      </c>
      <c r="M743" t="s">
        <v>846</v>
      </c>
    </row>
    <row r="744" spans="12:13">
      <c r="L744" s="69">
        <v>212390</v>
      </c>
      <c r="M744" t="s">
        <v>847</v>
      </c>
    </row>
    <row r="745" spans="12:13">
      <c r="L745" s="69">
        <v>212391</v>
      </c>
      <c r="M745" t="s">
        <v>847</v>
      </c>
    </row>
    <row r="746" spans="12:13">
      <c r="L746" s="69">
        <v>212400</v>
      </c>
      <c r="M746" t="s">
        <v>848</v>
      </c>
    </row>
    <row r="747" spans="12:13">
      <c r="L747" s="69">
        <v>212410</v>
      </c>
      <c r="M747" t="s">
        <v>849</v>
      </c>
    </row>
    <row r="748" spans="12:13">
      <c r="L748" s="69">
        <v>212411</v>
      </c>
      <c r="M748" t="s">
        <v>849</v>
      </c>
    </row>
    <row r="749" spans="12:13">
      <c r="L749" s="69">
        <v>212490</v>
      </c>
      <c r="M749" t="s">
        <v>850</v>
      </c>
    </row>
    <row r="750" spans="12:13">
      <c r="L750" s="69">
        <v>212491</v>
      </c>
      <c r="M750" t="s">
        <v>850</v>
      </c>
    </row>
    <row r="751" spans="12:13">
      <c r="L751" s="69">
        <v>212500</v>
      </c>
      <c r="M751" t="s">
        <v>851</v>
      </c>
    </row>
    <row r="752" spans="12:13">
      <c r="L752" s="69">
        <v>212510</v>
      </c>
      <c r="M752" t="s">
        <v>851</v>
      </c>
    </row>
    <row r="753" spans="12:13">
      <c r="L753" s="69">
        <v>212511</v>
      </c>
      <c r="M753" t="s">
        <v>851</v>
      </c>
    </row>
    <row r="754" spans="12:13">
      <c r="L754" s="69">
        <v>212600</v>
      </c>
      <c r="M754" t="s">
        <v>852</v>
      </c>
    </row>
    <row r="755" spans="12:13">
      <c r="L755" s="69">
        <v>212610</v>
      </c>
      <c r="M755" t="s">
        <v>852</v>
      </c>
    </row>
    <row r="756" spans="12:13">
      <c r="L756" s="69">
        <v>212611</v>
      </c>
      <c r="M756" t="s">
        <v>852</v>
      </c>
    </row>
    <row r="757" spans="12:13">
      <c r="L757" s="69">
        <v>213000</v>
      </c>
      <c r="M757" t="s">
        <v>853</v>
      </c>
    </row>
    <row r="758" spans="12:13">
      <c r="L758" s="69">
        <v>213100</v>
      </c>
      <c r="M758" t="s">
        <v>853</v>
      </c>
    </row>
    <row r="759" spans="12:13">
      <c r="L759" s="69">
        <v>213110</v>
      </c>
      <c r="M759" t="s">
        <v>853</v>
      </c>
    </row>
    <row r="760" spans="12:13">
      <c r="L760" s="69">
        <v>213111</v>
      </c>
      <c r="M760" t="s">
        <v>853</v>
      </c>
    </row>
    <row r="761" spans="12:13">
      <c r="L761" s="69">
        <v>220000</v>
      </c>
      <c r="M761" t="s">
        <v>854</v>
      </c>
    </row>
    <row r="762" spans="12:13">
      <c r="L762" s="69">
        <v>221000</v>
      </c>
      <c r="M762" t="s">
        <v>855</v>
      </c>
    </row>
    <row r="763" spans="12:13">
      <c r="L763" s="69">
        <v>221100</v>
      </c>
      <c r="M763" t="s">
        <v>856</v>
      </c>
    </row>
    <row r="764" spans="12:13">
      <c r="L764" s="69">
        <v>221110</v>
      </c>
      <c r="M764" t="s">
        <v>856</v>
      </c>
    </row>
    <row r="765" spans="12:13">
      <c r="L765" s="69">
        <v>221111</v>
      </c>
      <c r="M765" t="s">
        <v>856</v>
      </c>
    </row>
    <row r="766" spans="12:13">
      <c r="L766" s="69">
        <v>221200</v>
      </c>
      <c r="M766" t="s">
        <v>857</v>
      </c>
    </row>
    <row r="767" spans="12:13">
      <c r="L767" s="69">
        <v>221210</v>
      </c>
      <c r="M767" t="s">
        <v>858</v>
      </c>
    </row>
    <row r="768" spans="12:13">
      <c r="L768" s="69">
        <v>221211</v>
      </c>
      <c r="M768" t="s">
        <v>858</v>
      </c>
    </row>
    <row r="769" spans="12:13">
      <c r="L769" s="69">
        <v>221220</v>
      </c>
      <c r="M769" t="s">
        <v>859</v>
      </c>
    </row>
    <row r="770" spans="12:13">
      <c r="L770" s="69">
        <v>221221</v>
      </c>
      <c r="M770" t="s">
        <v>859</v>
      </c>
    </row>
    <row r="771" spans="12:13">
      <c r="L771" s="69">
        <v>221230</v>
      </c>
      <c r="M771" t="s">
        <v>860</v>
      </c>
    </row>
    <row r="772" spans="12:13">
      <c r="L772" s="69">
        <v>221231</v>
      </c>
      <c r="M772" t="s">
        <v>860</v>
      </c>
    </row>
    <row r="773" spans="12:13">
      <c r="L773" s="69">
        <v>221240</v>
      </c>
      <c r="M773" t="s">
        <v>861</v>
      </c>
    </row>
    <row r="774" spans="12:13">
      <c r="L774" s="69">
        <v>221241</v>
      </c>
      <c r="M774" t="s">
        <v>861</v>
      </c>
    </row>
    <row r="775" spans="12:13">
      <c r="L775" s="69">
        <v>221250</v>
      </c>
      <c r="M775" t="s">
        <v>862</v>
      </c>
    </row>
    <row r="776" spans="12:13">
      <c r="L776" s="69">
        <v>221251</v>
      </c>
      <c r="M776" t="s">
        <v>863</v>
      </c>
    </row>
    <row r="777" spans="12:13">
      <c r="L777" s="69">
        <v>221252</v>
      </c>
      <c r="M777" t="s">
        <v>864</v>
      </c>
    </row>
    <row r="778" spans="12:13">
      <c r="L778" s="69">
        <v>221255</v>
      </c>
      <c r="M778" t="s">
        <v>865</v>
      </c>
    </row>
    <row r="779" spans="12:13">
      <c r="L779" s="69">
        <v>221300</v>
      </c>
      <c r="M779" t="s">
        <v>866</v>
      </c>
    </row>
    <row r="780" spans="12:13">
      <c r="L780" s="69">
        <v>221310</v>
      </c>
      <c r="M780" t="s">
        <v>867</v>
      </c>
    </row>
    <row r="781" spans="12:13">
      <c r="L781" s="69">
        <v>221311</v>
      </c>
      <c r="M781" t="s">
        <v>867</v>
      </c>
    </row>
    <row r="782" spans="12:13">
      <c r="L782" s="69">
        <v>221390</v>
      </c>
      <c r="M782" t="s">
        <v>868</v>
      </c>
    </row>
    <row r="783" spans="12:13">
      <c r="L783" s="69">
        <v>221391</v>
      </c>
      <c r="M783" t="s">
        <v>868</v>
      </c>
    </row>
    <row r="784" spans="12:13">
      <c r="L784" s="69">
        <v>221400</v>
      </c>
      <c r="M784" t="s">
        <v>869</v>
      </c>
    </row>
    <row r="785" spans="12:13">
      <c r="L785" s="69">
        <v>221410</v>
      </c>
      <c r="M785" t="s">
        <v>869</v>
      </c>
    </row>
    <row r="786" spans="12:13">
      <c r="L786" s="69">
        <v>221411</v>
      </c>
      <c r="M786" t="s">
        <v>869</v>
      </c>
    </row>
    <row r="787" spans="12:13">
      <c r="L787" s="69">
        <v>221500</v>
      </c>
      <c r="M787" t="s">
        <v>870</v>
      </c>
    </row>
    <row r="788" spans="12:13">
      <c r="L788" s="69">
        <v>221510</v>
      </c>
      <c r="M788" t="s">
        <v>870</v>
      </c>
    </row>
    <row r="789" spans="12:13">
      <c r="L789" s="69">
        <v>221511</v>
      </c>
      <c r="M789" t="s">
        <v>870</v>
      </c>
    </row>
    <row r="790" spans="12:13">
      <c r="L790" s="69">
        <v>221600</v>
      </c>
      <c r="M790" t="s">
        <v>871</v>
      </c>
    </row>
    <row r="791" spans="12:13">
      <c r="L791" s="69">
        <v>221610</v>
      </c>
      <c r="M791" t="s">
        <v>871</v>
      </c>
    </row>
    <row r="792" spans="12:13">
      <c r="L792" s="69">
        <v>221611</v>
      </c>
      <c r="M792" t="s">
        <v>871</v>
      </c>
    </row>
    <row r="793" spans="12:13">
      <c r="L793" s="69">
        <v>221700</v>
      </c>
      <c r="M793" t="s">
        <v>872</v>
      </c>
    </row>
    <row r="794" spans="12:13">
      <c r="L794" s="69">
        <v>221710</v>
      </c>
      <c r="M794" t="s">
        <v>872</v>
      </c>
    </row>
    <row r="795" spans="12:13">
      <c r="L795" s="69">
        <v>221711</v>
      </c>
      <c r="M795" t="s">
        <v>872</v>
      </c>
    </row>
    <row r="796" spans="12:13">
      <c r="L796" s="69">
        <v>221800</v>
      </c>
      <c r="M796" t="s">
        <v>873</v>
      </c>
    </row>
    <row r="797" spans="12:13">
      <c r="L797" s="69">
        <v>221810</v>
      </c>
      <c r="M797" t="s">
        <v>873</v>
      </c>
    </row>
    <row r="798" spans="12:13">
      <c r="L798" s="69">
        <v>221811</v>
      </c>
      <c r="M798" t="s">
        <v>873</v>
      </c>
    </row>
    <row r="799" spans="12:13">
      <c r="L799" s="69">
        <v>222000</v>
      </c>
      <c r="M799" t="s">
        <v>874</v>
      </c>
    </row>
    <row r="800" spans="12:13">
      <c r="L800" s="69">
        <v>222100</v>
      </c>
      <c r="M800" t="s">
        <v>875</v>
      </c>
    </row>
    <row r="801" spans="12:13">
      <c r="L801" s="69">
        <v>222110</v>
      </c>
      <c r="M801" t="s">
        <v>875</v>
      </c>
    </row>
    <row r="802" spans="12:13">
      <c r="L802" s="69">
        <v>222111</v>
      </c>
      <c r="M802" t="s">
        <v>875</v>
      </c>
    </row>
    <row r="803" spans="12:13">
      <c r="L803" s="69">
        <v>222200</v>
      </c>
      <c r="M803" t="s">
        <v>876</v>
      </c>
    </row>
    <row r="804" spans="12:13">
      <c r="L804" s="69">
        <v>222210</v>
      </c>
      <c r="M804" t="s">
        <v>877</v>
      </c>
    </row>
    <row r="805" spans="12:13">
      <c r="L805" s="69">
        <v>222211</v>
      </c>
      <c r="M805" t="s">
        <v>877</v>
      </c>
    </row>
    <row r="806" spans="12:13">
      <c r="L806" s="69">
        <v>222220</v>
      </c>
      <c r="M806" t="s">
        <v>878</v>
      </c>
    </row>
    <row r="807" spans="12:13">
      <c r="L807" s="69">
        <v>222221</v>
      </c>
      <c r="M807" t="s">
        <v>878</v>
      </c>
    </row>
    <row r="808" spans="12:13">
      <c r="L808" s="69">
        <v>222290</v>
      </c>
      <c r="M808" t="s">
        <v>879</v>
      </c>
    </row>
    <row r="809" spans="12:13">
      <c r="L809" s="69">
        <v>222291</v>
      </c>
      <c r="M809" t="s">
        <v>879</v>
      </c>
    </row>
    <row r="810" spans="12:13">
      <c r="L810" s="69">
        <v>222300</v>
      </c>
      <c r="M810" t="s">
        <v>880</v>
      </c>
    </row>
    <row r="811" spans="12:13">
      <c r="L811" s="69">
        <v>222310</v>
      </c>
      <c r="M811" t="s">
        <v>881</v>
      </c>
    </row>
    <row r="812" spans="12:13">
      <c r="L812" s="69">
        <v>222311</v>
      </c>
      <c r="M812" t="s">
        <v>881</v>
      </c>
    </row>
    <row r="813" spans="12:13">
      <c r="L813" s="69">
        <v>222320</v>
      </c>
      <c r="M813" t="s">
        <v>882</v>
      </c>
    </row>
    <row r="814" spans="12:13">
      <c r="L814" s="69">
        <v>222321</v>
      </c>
      <c r="M814" t="s">
        <v>882</v>
      </c>
    </row>
    <row r="815" spans="12:13">
      <c r="L815" s="69">
        <v>222330</v>
      </c>
      <c r="M815" t="s">
        <v>883</v>
      </c>
    </row>
    <row r="816" spans="12:13">
      <c r="L816" s="69">
        <v>222331</v>
      </c>
      <c r="M816" t="s">
        <v>883</v>
      </c>
    </row>
    <row r="817" spans="12:13">
      <c r="L817" s="69">
        <v>222340</v>
      </c>
      <c r="M817" t="s">
        <v>884</v>
      </c>
    </row>
    <row r="818" spans="12:13">
      <c r="L818" s="69">
        <v>222341</v>
      </c>
      <c r="M818" t="s">
        <v>884</v>
      </c>
    </row>
    <row r="819" spans="12:13">
      <c r="L819" s="69">
        <v>222350</v>
      </c>
      <c r="M819" t="s">
        <v>885</v>
      </c>
    </row>
    <row r="820" spans="12:13">
      <c r="L820" s="69">
        <v>222351</v>
      </c>
      <c r="M820" t="s">
        <v>885</v>
      </c>
    </row>
    <row r="821" spans="12:13">
      <c r="L821" s="69">
        <v>222390</v>
      </c>
      <c r="M821" t="s">
        <v>886</v>
      </c>
    </row>
    <row r="822" spans="12:13">
      <c r="L822" s="69">
        <v>222391</v>
      </c>
      <c r="M822" t="s">
        <v>886</v>
      </c>
    </row>
    <row r="823" spans="12:13">
      <c r="L823" s="69">
        <v>222400</v>
      </c>
      <c r="M823" t="s">
        <v>887</v>
      </c>
    </row>
    <row r="824" spans="12:13">
      <c r="L824" s="69">
        <v>222410</v>
      </c>
      <c r="M824" t="s">
        <v>888</v>
      </c>
    </row>
    <row r="825" spans="12:13">
      <c r="L825" s="69">
        <v>222411</v>
      </c>
      <c r="M825" t="s">
        <v>888</v>
      </c>
    </row>
    <row r="826" spans="12:13">
      <c r="L826" s="69">
        <v>222490</v>
      </c>
      <c r="M826" t="s">
        <v>889</v>
      </c>
    </row>
    <row r="827" spans="12:13">
      <c r="L827" s="69">
        <v>222491</v>
      </c>
      <c r="M827" t="s">
        <v>889</v>
      </c>
    </row>
    <row r="828" spans="12:13">
      <c r="L828" s="69">
        <v>222500</v>
      </c>
      <c r="M828" t="s">
        <v>890</v>
      </c>
    </row>
    <row r="829" spans="12:13">
      <c r="L829" s="69">
        <v>222510</v>
      </c>
      <c r="M829" t="s">
        <v>890</v>
      </c>
    </row>
    <row r="830" spans="12:13">
      <c r="L830" s="69">
        <v>222511</v>
      </c>
      <c r="M830" t="s">
        <v>890</v>
      </c>
    </row>
    <row r="831" spans="12:13">
      <c r="L831" s="69">
        <v>222600</v>
      </c>
      <c r="M831" t="s">
        <v>891</v>
      </c>
    </row>
    <row r="832" spans="12:13">
      <c r="L832" s="69">
        <v>222610</v>
      </c>
      <c r="M832" t="s">
        <v>891</v>
      </c>
    </row>
    <row r="833" spans="12:13">
      <c r="L833" s="69">
        <v>222611</v>
      </c>
      <c r="M833" t="s">
        <v>891</v>
      </c>
    </row>
    <row r="834" spans="12:13">
      <c r="L834" s="69">
        <v>223000</v>
      </c>
      <c r="M834" t="s">
        <v>892</v>
      </c>
    </row>
    <row r="835" spans="12:13">
      <c r="L835" s="69">
        <v>223100</v>
      </c>
      <c r="M835" t="s">
        <v>892</v>
      </c>
    </row>
    <row r="836" spans="12:13">
      <c r="L836" s="69">
        <v>223110</v>
      </c>
      <c r="M836" t="s">
        <v>892</v>
      </c>
    </row>
    <row r="837" spans="12:13">
      <c r="L837" s="69">
        <v>223111</v>
      </c>
      <c r="M837" t="s">
        <v>892</v>
      </c>
    </row>
    <row r="838" spans="12:13">
      <c r="L838" s="69">
        <v>230000</v>
      </c>
      <c r="M838" t="s">
        <v>893</v>
      </c>
    </row>
    <row r="839" spans="12:13">
      <c r="L839" s="69">
        <v>231000</v>
      </c>
      <c r="M839" t="s">
        <v>894</v>
      </c>
    </row>
    <row r="840" spans="12:13">
      <c r="L840" s="69">
        <v>231100</v>
      </c>
      <c r="M840" t="s">
        <v>895</v>
      </c>
    </row>
    <row r="841" spans="12:13">
      <c r="L841" s="69">
        <v>231110</v>
      </c>
      <c r="M841" t="s">
        <v>895</v>
      </c>
    </row>
    <row r="842" spans="12:13">
      <c r="L842" s="69">
        <v>231111</v>
      </c>
      <c r="M842" t="s">
        <v>895</v>
      </c>
    </row>
    <row r="843" spans="12:13">
      <c r="L843" s="69">
        <v>231200</v>
      </c>
      <c r="M843" t="s">
        <v>896</v>
      </c>
    </row>
    <row r="844" spans="12:13">
      <c r="L844" s="69">
        <v>231210</v>
      </c>
      <c r="M844" t="s">
        <v>896</v>
      </c>
    </row>
    <row r="845" spans="12:13">
      <c r="L845" s="69">
        <v>231211</v>
      </c>
      <c r="M845" t="s">
        <v>896</v>
      </c>
    </row>
    <row r="846" spans="12:13">
      <c r="L846" s="69">
        <v>231300</v>
      </c>
      <c r="M846" t="s">
        <v>897</v>
      </c>
    </row>
    <row r="847" spans="12:13">
      <c r="L847" s="69">
        <v>231310</v>
      </c>
      <c r="M847" t="s">
        <v>897</v>
      </c>
    </row>
    <row r="848" spans="12:13">
      <c r="L848" s="69">
        <v>231311</v>
      </c>
      <c r="M848" t="s">
        <v>897</v>
      </c>
    </row>
    <row r="849" spans="12:13">
      <c r="L849" s="69">
        <v>231400</v>
      </c>
      <c r="M849" t="s">
        <v>898</v>
      </c>
    </row>
    <row r="850" spans="12:13">
      <c r="L850" s="69">
        <v>231410</v>
      </c>
      <c r="M850" t="s">
        <v>898</v>
      </c>
    </row>
    <row r="851" spans="12:13">
      <c r="L851" s="69">
        <v>231411</v>
      </c>
      <c r="M851" t="s">
        <v>898</v>
      </c>
    </row>
    <row r="852" spans="12:13">
      <c r="L852" s="69">
        <v>231500</v>
      </c>
      <c r="M852" t="s">
        <v>899</v>
      </c>
    </row>
    <row r="853" spans="12:13">
      <c r="L853" s="69">
        <v>231510</v>
      </c>
      <c r="M853" t="s">
        <v>899</v>
      </c>
    </row>
    <row r="854" spans="12:13">
      <c r="L854" s="69">
        <v>231511</v>
      </c>
      <c r="M854" t="s">
        <v>899</v>
      </c>
    </row>
    <row r="855" spans="12:13">
      <c r="L855" s="69">
        <v>232000</v>
      </c>
      <c r="M855" t="s">
        <v>900</v>
      </c>
    </row>
    <row r="856" spans="12:13">
      <c r="L856" s="69">
        <v>232100</v>
      </c>
      <c r="M856" t="s">
        <v>901</v>
      </c>
    </row>
    <row r="857" spans="12:13">
      <c r="L857" s="69">
        <v>232110</v>
      </c>
      <c r="M857" t="s">
        <v>901</v>
      </c>
    </row>
    <row r="858" spans="12:13">
      <c r="L858" s="69">
        <v>232111</v>
      </c>
      <c r="M858" t="s">
        <v>901</v>
      </c>
    </row>
    <row r="859" spans="12:13">
      <c r="L859" s="69">
        <v>232200</v>
      </c>
      <c r="M859" t="s">
        <v>902</v>
      </c>
    </row>
    <row r="860" spans="12:13">
      <c r="L860" s="69">
        <v>232210</v>
      </c>
      <c r="M860" t="s">
        <v>902</v>
      </c>
    </row>
    <row r="861" spans="12:13">
      <c r="L861" s="69">
        <v>232211</v>
      </c>
      <c r="M861" t="s">
        <v>902</v>
      </c>
    </row>
    <row r="862" spans="12:13">
      <c r="L862" s="69">
        <v>232300</v>
      </c>
      <c r="M862" t="s">
        <v>903</v>
      </c>
    </row>
    <row r="863" spans="12:13">
      <c r="L863" s="69">
        <v>232310</v>
      </c>
      <c r="M863" t="s">
        <v>903</v>
      </c>
    </row>
    <row r="864" spans="12:13">
      <c r="L864" s="69">
        <v>232311</v>
      </c>
      <c r="M864" t="s">
        <v>903</v>
      </c>
    </row>
    <row r="865" spans="12:13">
      <c r="L865" s="69">
        <v>232400</v>
      </c>
      <c r="M865" t="s">
        <v>904</v>
      </c>
    </row>
    <row r="866" spans="12:13">
      <c r="L866" s="69">
        <v>232410</v>
      </c>
      <c r="M866" t="s">
        <v>904</v>
      </c>
    </row>
    <row r="867" spans="12:13">
      <c r="L867" s="69">
        <v>232411</v>
      </c>
      <c r="M867" t="s">
        <v>904</v>
      </c>
    </row>
    <row r="868" spans="12:13">
      <c r="L868" s="69">
        <v>232500</v>
      </c>
      <c r="M868" t="s">
        <v>905</v>
      </c>
    </row>
    <row r="869" spans="12:13">
      <c r="L869" s="69">
        <v>232510</v>
      </c>
      <c r="M869" t="s">
        <v>905</v>
      </c>
    </row>
    <row r="870" spans="12:13">
      <c r="L870" s="69">
        <v>232511</v>
      </c>
      <c r="M870" t="s">
        <v>905</v>
      </c>
    </row>
    <row r="871" spans="12:13">
      <c r="L871" s="69">
        <v>233000</v>
      </c>
      <c r="M871" t="s">
        <v>906</v>
      </c>
    </row>
    <row r="872" spans="12:13">
      <c r="L872" s="69">
        <v>233100</v>
      </c>
      <c r="M872" t="s">
        <v>907</v>
      </c>
    </row>
    <row r="873" spans="12:13">
      <c r="L873" s="69">
        <v>233110</v>
      </c>
      <c r="M873" t="s">
        <v>907</v>
      </c>
    </row>
    <row r="874" spans="12:13">
      <c r="L874" s="69">
        <v>233111</v>
      </c>
      <c r="M874" t="s">
        <v>907</v>
      </c>
    </row>
    <row r="875" spans="12:13">
      <c r="L875" s="69">
        <v>233200</v>
      </c>
      <c r="M875" t="s">
        <v>908</v>
      </c>
    </row>
    <row r="876" spans="12:13">
      <c r="L876" s="69">
        <v>233210</v>
      </c>
      <c r="M876" t="s">
        <v>908</v>
      </c>
    </row>
    <row r="877" spans="12:13">
      <c r="L877" s="69">
        <v>233211</v>
      </c>
      <c r="M877" t="s">
        <v>908</v>
      </c>
    </row>
    <row r="878" spans="12:13">
      <c r="L878" s="69">
        <v>233300</v>
      </c>
      <c r="M878" t="s">
        <v>909</v>
      </c>
    </row>
    <row r="879" spans="12:13">
      <c r="L879" s="69">
        <v>233310</v>
      </c>
      <c r="M879" t="s">
        <v>909</v>
      </c>
    </row>
    <row r="880" spans="12:13">
      <c r="L880" s="69">
        <v>233311</v>
      </c>
      <c r="M880" t="s">
        <v>909</v>
      </c>
    </row>
    <row r="881" spans="12:13">
      <c r="L881" s="69">
        <v>233400</v>
      </c>
      <c r="M881" t="s">
        <v>910</v>
      </c>
    </row>
    <row r="882" spans="12:13">
      <c r="L882" s="69">
        <v>233410</v>
      </c>
      <c r="M882" t="s">
        <v>910</v>
      </c>
    </row>
    <row r="883" spans="12:13">
      <c r="L883" s="69">
        <v>233411</v>
      </c>
      <c r="M883" t="s">
        <v>910</v>
      </c>
    </row>
    <row r="884" spans="12:13">
      <c r="L884" s="69">
        <v>233500</v>
      </c>
      <c r="M884" t="s">
        <v>911</v>
      </c>
    </row>
    <row r="885" spans="12:13">
      <c r="L885" s="69">
        <v>233510</v>
      </c>
      <c r="M885" t="s">
        <v>911</v>
      </c>
    </row>
    <row r="886" spans="12:13">
      <c r="L886" s="69">
        <v>233511</v>
      </c>
      <c r="M886" t="s">
        <v>911</v>
      </c>
    </row>
    <row r="887" spans="12:13">
      <c r="L887" s="69">
        <v>234000</v>
      </c>
      <c r="M887" t="s">
        <v>912</v>
      </c>
    </row>
    <row r="888" spans="12:13">
      <c r="L888" s="69">
        <v>234100</v>
      </c>
      <c r="M888" t="s">
        <v>913</v>
      </c>
    </row>
    <row r="889" spans="12:13">
      <c r="L889" s="69">
        <v>234110</v>
      </c>
      <c r="M889" t="s">
        <v>913</v>
      </c>
    </row>
    <row r="890" spans="12:13">
      <c r="L890" s="69">
        <v>234111</v>
      </c>
      <c r="M890" t="s">
        <v>913</v>
      </c>
    </row>
    <row r="891" spans="12:13">
      <c r="L891" s="69">
        <v>234200</v>
      </c>
      <c r="M891" t="s">
        <v>914</v>
      </c>
    </row>
    <row r="892" spans="12:13">
      <c r="L892" s="69">
        <v>234210</v>
      </c>
      <c r="M892" t="s">
        <v>914</v>
      </c>
    </row>
    <row r="893" spans="12:13">
      <c r="L893" s="69">
        <v>234211</v>
      </c>
      <c r="M893" t="s">
        <v>914</v>
      </c>
    </row>
    <row r="894" spans="12:13">
      <c r="L894" s="69">
        <v>234300</v>
      </c>
      <c r="M894" t="s">
        <v>915</v>
      </c>
    </row>
    <row r="895" spans="12:13">
      <c r="L895" s="69">
        <v>234310</v>
      </c>
      <c r="M895" t="s">
        <v>915</v>
      </c>
    </row>
    <row r="896" spans="12:13">
      <c r="L896" s="69">
        <v>234311</v>
      </c>
      <c r="M896" t="s">
        <v>915</v>
      </c>
    </row>
    <row r="897" spans="12:13">
      <c r="L897" s="69">
        <v>235000</v>
      </c>
      <c r="M897" t="s">
        <v>916</v>
      </c>
    </row>
    <row r="898" spans="12:13">
      <c r="L898" s="69">
        <v>235100</v>
      </c>
      <c r="M898" t="s">
        <v>917</v>
      </c>
    </row>
    <row r="899" spans="12:13">
      <c r="L899" s="69">
        <v>235110</v>
      </c>
      <c r="M899" t="s">
        <v>917</v>
      </c>
    </row>
    <row r="900" spans="12:13">
      <c r="L900" s="69">
        <v>235111</v>
      </c>
      <c r="M900" t="s">
        <v>917</v>
      </c>
    </row>
    <row r="901" spans="12:13">
      <c r="L901" s="69">
        <v>235200</v>
      </c>
      <c r="M901" t="s">
        <v>918</v>
      </c>
    </row>
    <row r="902" spans="12:13">
      <c r="L902" s="69">
        <v>235210</v>
      </c>
      <c r="M902" t="s">
        <v>918</v>
      </c>
    </row>
    <row r="903" spans="12:13">
      <c r="L903" s="69">
        <v>235211</v>
      </c>
      <c r="M903" t="s">
        <v>918</v>
      </c>
    </row>
    <row r="904" spans="12:13">
      <c r="L904" s="69">
        <v>235300</v>
      </c>
      <c r="M904" t="s">
        <v>919</v>
      </c>
    </row>
    <row r="905" spans="12:13">
      <c r="L905" s="69">
        <v>235310</v>
      </c>
      <c r="M905" t="s">
        <v>919</v>
      </c>
    </row>
    <row r="906" spans="12:13">
      <c r="L906" s="69">
        <v>235311</v>
      </c>
      <c r="M906" t="s">
        <v>919</v>
      </c>
    </row>
    <row r="907" spans="12:13">
      <c r="L907" s="69">
        <v>235400</v>
      </c>
      <c r="M907" t="s">
        <v>920</v>
      </c>
    </row>
    <row r="908" spans="12:13">
      <c r="L908" s="69">
        <v>235410</v>
      </c>
      <c r="M908" t="s">
        <v>920</v>
      </c>
    </row>
    <row r="909" spans="12:13">
      <c r="L909" s="69">
        <v>235411</v>
      </c>
      <c r="M909" t="s">
        <v>920</v>
      </c>
    </row>
    <row r="910" spans="12:13">
      <c r="L910" s="69">
        <v>235500</v>
      </c>
      <c r="M910" t="s">
        <v>921</v>
      </c>
    </row>
    <row r="911" spans="12:13">
      <c r="L911" s="69">
        <v>235510</v>
      </c>
      <c r="M911" t="s">
        <v>921</v>
      </c>
    </row>
    <row r="912" spans="12:13">
      <c r="L912" s="69">
        <v>235511</v>
      </c>
      <c r="M912" t="s">
        <v>921</v>
      </c>
    </row>
    <row r="913" spans="12:13">
      <c r="L913" s="69">
        <v>236000</v>
      </c>
      <c r="M913" t="s">
        <v>922</v>
      </c>
    </row>
    <row r="914" spans="12:13">
      <c r="L914" s="69">
        <v>236100</v>
      </c>
      <c r="M914" t="s">
        <v>923</v>
      </c>
    </row>
    <row r="915" spans="12:13">
      <c r="L915" s="69">
        <v>236110</v>
      </c>
      <c r="M915" t="s">
        <v>923</v>
      </c>
    </row>
    <row r="916" spans="12:13">
      <c r="L916" s="69">
        <v>236111</v>
      </c>
      <c r="M916" t="s">
        <v>923</v>
      </c>
    </row>
    <row r="917" spans="12:13">
      <c r="L917" s="69">
        <v>236120</v>
      </c>
      <c r="M917" t="s">
        <v>924</v>
      </c>
    </row>
    <row r="918" spans="12:13">
      <c r="L918" s="69">
        <v>236121</v>
      </c>
      <c r="M918" t="s">
        <v>925</v>
      </c>
    </row>
    <row r="919" spans="12:13">
      <c r="L919" s="69">
        <v>236122</v>
      </c>
      <c r="M919" t="s">
        <v>926</v>
      </c>
    </row>
    <row r="920" spans="12:13">
      <c r="L920" s="69">
        <v>236123</v>
      </c>
      <c r="M920" t="s">
        <v>927</v>
      </c>
    </row>
    <row r="921" spans="12:13">
      <c r="L921" s="69">
        <v>236200</v>
      </c>
      <c r="M921" t="s">
        <v>928</v>
      </c>
    </row>
    <row r="922" spans="12:13">
      <c r="L922" s="69">
        <v>236210</v>
      </c>
      <c r="M922" t="s">
        <v>928</v>
      </c>
    </row>
    <row r="923" spans="12:13">
      <c r="L923" s="69">
        <v>236211</v>
      </c>
      <c r="M923" t="s">
        <v>928</v>
      </c>
    </row>
    <row r="924" spans="12:13">
      <c r="L924" s="69">
        <v>236300</v>
      </c>
      <c r="M924" t="s">
        <v>929</v>
      </c>
    </row>
    <row r="925" spans="12:13">
      <c r="L925" s="69">
        <v>236310</v>
      </c>
      <c r="M925" t="s">
        <v>929</v>
      </c>
    </row>
    <row r="926" spans="12:13">
      <c r="L926" s="69">
        <v>236311</v>
      </c>
      <c r="M926" t="s">
        <v>929</v>
      </c>
    </row>
    <row r="927" spans="12:13">
      <c r="L927" s="69">
        <v>236400</v>
      </c>
      <c r="M927" t="s">
        <v>930</v>
      </c>
    </row>
    <row r="928" spans="12:13">
      <c r="L928" s="69">
        <v>236410</v>
      </c>
      <c r="M928" t="s">
        <v>930</v>
      </c>
    </row>
    <row r="929" spans="12:13">
      <c r="L929" s="69">
        <v>236411</v>
      </c>
      <c r="M929" t="s">
        <v>930</v>
      </c>
    </row>
    <row r="930" spans="12:13">
      <c r="L930" s="69">
        <v>236500</v>
      </c>
      <c r="M930" t="s">
        <v>931</v>
      </c>
    </row>
    <row r="931" spans="12:13">
      <c r="L931" s="69">
        <v>236510</v>
      </c>
      <c r="M931" t="s">
        <v>931</v>
      </c>
    </row>
    <row r="932" spans="12:13">
      <c r="L932" s="69">
        <v>236511</v>
      </c>
      <c r="M932" t="s">
        <v>931</v>
      </c>
    </row>
    <row r="933" spans="12:13">
      <c r="L933" s="69">
        <v>237000</v>
      </c>
      <c r="M933" t="s">
        <v>932</v>
      </c>
    </row>
    <row r="934" spans="12:13">
      <c r="L934" s="69">
        <v>237100</v>
      </c>
      <c r="M934" t="s">
        <v>933</v>
      </c>
    </row>
    <row r="935" spans="12:13">
      <c r="L935" s="69">
        <v>237110</v>
      </c>
      <c r="M935" t="s">
        <v>933</v>
      </c>
    </row>
    <row r="936" spans="12:13">
      <c r="L936" s="69">
        <v>237111</v>
      </c>
      <c r="M936" t="s">
        <v>934</v>
      </c>
    </row>
    <row r="937" spans="12:13">
      <c r="L937" s="69">
        <v>237112</v>
      </c>
      <c r="M937" t="s">
        <v>935</v>
      </c>
    </row>
    <row r="938" spans="12:13">
      <c r="L938" s="69">
        <v>237200</v>
      </c>
      <c r="M938" t="s">
        <v>936</v>
      </c>
    </row>
    <row r="939" spans="12:13">
      <c r="L939" s="69">
        <v>237210</v>
      </c>
      <c r="M939" t="s">
        <v>936</v>
      </c>
    </row>
    <row r="940" spans="12:13">
      <c r="L940" s="69">
        <v>237211</v>
      </c>
      <c r="M940" t="s">
        <v>936</v>
      </c>
    </row>
    <row r="941" spans="12:13">
      <c r="L941" s="69">
        <v>237300</v>
      </c>
      <c r="M941" t="s">
        <v>937</v>
      </c>
    </row>
    <row r="942" spans="12:13">
      <c r="L942" s="69">
        <v>237310</v>
      </c>
      <c r="M942" t="s">
        <v>937</v>
      </c>
    </row>
    <row r="943" spans="12:13">
      <c r="L943" s="69">
        <v>237311</v>
      </c>
      <c r="M943" t="s">
        <v>937</v>
      </c>
    </row>
    <row r="944" spans="12:13">
      <c r="L944" s="69">
        <v>237400</v>
      </c>
      <c r="M944" t="s">
        <v>938</v>
      </c>
    </row>
    <row r="945" spans="12:13">
      <c r="L945" s="69">
        <v>237410</v>
      </c>
      <c r="M945" t="s">
        <v>938</v>
      </c>
    </row>
    <row r="946" spans="12:13">
      <c r="L946" s="69">
        <v>237411</v>
      </c>
      <c r="M946" t="s">
        <v>938</v>
      </c>
    </row>
    <row r="947" spans="12:13">
      <c r="L947" s="69">
        <v>237500</v>
      </c>
      <c r="M947" t="s">
        <v>939</v>
      </c>
    </row>
    <row r="948" spans="12:13">
      <c r="L948" s="69">
        <v>237510</v>
      </c>
      <c r="M948" t="s">
        <v>939</v>
      </c>
    </row>
    <row r="949" spans="12:13">
      <c r="L949" s="69">
        <v>237511</v>
      </c>
      <c r="M949" t="s">
        <v>939</v>
      </c>
    </row>
    <row r="950" spans="12:13">
      <c r="L950" s="69">
        <v>237600</v>
      </c>
      <c r="M950" t="s">
        <v>940</v>
      </c>
    </row>
    <row r="951" spans="12:13">
      <c r="L951" s="69">
        <v>237610</v>
      </c>
      <c r="M951" t="s">
        <v>940</v>
      </c>
    </row>
    <row r="952" spans="12:13">
      <c r="L952" s="69">
        <v>237611</v>
      </c>
      <c r="M952" t="s">
        <v>940</v>
      </c>
    </row>
    <row r="953" spans="12:13">
      <c r="L953" s="69">
        <v>237700</v>
      </c>
      <c r="M953" t="s">
        <v>941</v>
      </c>
    </row>
    <row r="954" spans="12:13">
      <c r="L954" s="69">
        <v>237710</v>
      </c>
      <c r="M954" t="s">
        <v>941</v>
      </c>
    </row>
    <row r="955" spans="12:13">
      <c r="L955" s="69">
        <v>237711</v>
      </c>
      <c r="M955" t="s">
        <v>941</v>
      </c>
    </row>
    <row r="956" spans="12:13">
      <c r="L956" s="69">
        <v>238000</v>
      </c>
      <c r="M956" t="s">
        <v>942</v>
      </c>
    </row>
    <row r="957" spans="12:13">
      <c r="L957" s="69">
        <v>238100</v>
      </c>
      <c r="M957" t="s">
        <v>943</v>
      </c>
    </row>
    <row r="958" spans="12:13">
      <c r="L958" s="69">
        <v>238110</v>
      </c>
      <c r="M958" t="s">
        <v>943</v>
      </c>
    </row>
    <row r="959" spans="12:13">
      <c r="L959" s="69">
        <v>238111</v>
      </c>
      <c r="M959" t="s">
        <v>943</v>
      </c>
    </row>
    <row r="960" spans="12:13">
      <c r="L960" s="69">
        <v>238200</v>
      </c>
      <c r="M960" t="s">
        <v>944</v>
      </c>
    </row>
    <row r="961" spans="12:13">
      <c r="L961" s="69">
        <v>238210</v>
      </c>
      <c r="M961" t="s">
        <v>944</v>
      </c>
    </row>
    <row r="962" spans="12:13">
      <c r="L962" s="69">
        <v>238211</v>
      </c>
      <c r="M962" t="s">
        <v>944</v>
      </c>
    </row>
    <row r="963" spans="12:13">
      <c r="L963" s="69">
        <v>238300</v>
      </c>
      <c r="M963" t="s">
        <v>945</v>
      </c>
    </row>
    <row r="964" spans="12:13">
      <c r="L964" s="69">
        <v>238310</v>
      </c>
      <c r="M964" t="s">
        <v>945</v>
      </c>
    </row>
    <row r="965" spans="12:13">
      <c r="L965" s="69">
        <v>238311</v>
      </c>
      <c r="M965" t="s">
        <v>945</v>
      </c>
    </row>
    <row r="966" spans="12:13">
      <c r="L966" s="69">
        <v>238400</v>
      </c>
      <c r="M966" t="s">
        <v>946</v>
      </c>
    </row>
    <row r="967" spans="12:13">
      <c r="L967" s="69">
        <v>238410</v>
      </c>
      <c r="M967" t="s">
        <v>946</v>
      </c>
    </row>
    <row r="968" spans="12:13">
      <c r="L968" s="69">
        <v>238411</v>
      </c>
      <c r="M968" t="s">
        <v>946</v>
      </c>
    </row>
    <row r="969" spans="12:13">
      <c r="L969" s="69">
        <v>238500</v>
      </c>
      <c r="M969" t="s">
        <v>947</v>
      </c>
    </row>
    <row r="970" spans="12:13">
      <c r="L970" s="69">
        <v>238510</v>
      </c>
      <c r="M970" t="s">
        <v>947</v>
      </c>
    </row>
    <row r="971" spans="12:13">
      <c r="L971" s="69">
        <v>238511</v>
      </c>
      <c r="M971" t="s">
        <v>947</v>
      </c>
    </row>
    <row r="972" spans="12:13">
      <c r="L972" s="69">
        <v>239000</v>
      </c>
      <c r="M972" t="s">
        <v>948</v>
      </c>
    </row>
    <row r="973" spans="12:13">
      <c r="L973" s="69">
        <v>239100</v>
      </c>
      <c r="M973" t="s">
        <v>949</v>
      </c>
    </row>
    <row r="974" spans="12:13">
      <c r="L974" s="69">
        <v>239110</v>
      </c>
      <c r="M974" t="s">
        <v>949</v>
      </c>
    </row>
    <row r="975" spans="12:13">
      <c r="L975" s="69">
        <v>239111</v>
      </c>
      <c r="M975" t="s">
        <v>949</v>
      </c>
    </row>
    <row r="976" spans="12:13">
      <c r="L976" s="69">
        <v>239200</v>
      </c>
      <c r="M976" t="s">
        <v>950</v>
      </c>
    </row>
    <row r="977" spans="12:13">
      <c r="L977" s="69">
        <v>239210</v>
      </c>
      <c r="M977" t="s">
        <v>950</v>
      </c>
    </row>
    <row r="978" spans="12:13">
      <c r="L978" s="69">
        <v>239211</v>
      </c>
      <c r="M978" t="s">
        <v>950</v>
      </c>
    </row>
    <row r="979" spans="12:13">
      <c r="L979" s="69">
        <v>239300</v>
      </c>
      <c r="M979" t="s">
        <v>951</v>
      </c>
    </row>
    <row r="980" spans="12:13">
      <c r="L980" s="69">
        <v>239310</v>
      </c>
      <c r="M980" t="s">
        <v>951</v>
      </c>
    </row>
    <row r="981" spans="12:13">
      <c r="L981" s="69">
        <v>239311</v>
      </c>
      <c r="M981" t="s">
        <v>951</v>
      </c>
    </row>
    <row r="982" spans="12:13">
      <c r="L982" s="69">
        <v>239400</v>
      </c>
      <c r="M982" t="s">
        <v>952</v>
      </c>
    </row>
    <row r="983" spans="12:13">
      <c r="L983" s="69">
        <v>239410</v>
      </c>
      <c r="M983" t="s">
        <v>952</v>
      </c>
    </row>
    <row r="984" spans="12:13">
      <c r="L984" s="69">
        <v>239411</v>
      </c>
      <c r="M984" t="s">
        <v>952</v>
      </c>
    </row>
    <row r="985" spans="12:13">
      <c r="L985" s="69">
        <v>239500</v>
      </c>
      <c r="M985" t="s">
        <v>953</v>
      </c>
    </row>
    <row r="986" spans="12:13">
      <c r="L986" s="69">
        <v>239510</v>
      </c>
      <c r="M986" t="s">
        <v>953</v>
      </c>
    </row>
    <row r="987" spans="12:13">
      <c r="L987" s="69">
        <v>239511</v>
      </c>
      <c r="M987" t="s">
        <v>953</v>
      </c>
    </row>
    <row r="988" spans="12:13">
      <c r="L988" s="69">
        <v>240000</v>
      </c>
      <c r="M988" t="s">
        <v>954</v>
      </c>
    </row>
    <row r="989" spans="12:13">
      <c r="L989" s="69">
        <v>241000</v>
      </c>
      <c r="M989" t="s">
        <v>955</v>
      </c>
    </row>
    <row r="990" spans="12:13">
      <c r="L990" s="69">
        <v>241100</v>
      </c>
      <c r="M990" t="s">
        <v>956</v>
      </c>
    </row>
    <row r="991" spans="12:13">
      <c r="L991" s="69">
        <v>241110</v>
      </c>
      <c r="M991" t="s">
        <v>957</v>
      </c>
    </row>
    <row r="992" spans="12:13">
      <c r="L992" s="69">
        <v>241111</v>
      </c>
      <c r="M992" t="s">
        <v>958</v>
      </c>
    </row>
    <row r="993" spans="12:13">
      <c r="L993" s="69">
        <v>241112</v>
      </c>
      <c r="M993" t="s">
        <v>959</v>
      </c>
    </row>
    <row r="994" spans="12:13">
      <c r="L994" s="69">
        <v>241120</v>
      </c>
      <c r="M994" t="s">
        <v>960</v>
      </c>
    </row>
    <row r="995" spans="12:13">
      <c r="L995" s="69">
        <v>241121</v>
      </c>
      <c r="M995" t="s">
        <v>961</v>
      </c>
    </row>
    <row r="996" spans="12:13">
      <c r="L996" s="69">
        <v>241122</v>
      </c>
      <c r="M996" t="s">
        <v>962</v>
      </c>
    </row>
    <row r="997" spans="12:13">
      <c r="L997" s="69">
        <v>241123</v>
      </c>
      <c r="M997" t="s">
        <v>963</v>
      </c>
    </row>
    <row r="998" spans="12:13">
      <c r="L998" s="69">
        <v>241124</v>
      </c>
      <c r="M998" t="s">
        <v>964</v>
      </c>
    </row>
    <row r="999" spans="12:13">
      <c r="L999" s="69">
        <v>241125</v>
      </c>
      <c r="M999" t="s">
        <v>965</v>
      </c>
    </row>
    <row r="1000" spans="12:13">
      <c r="L1000" s="69">
        <v>241130</v>
      </c>
      <c r="M1000" t="s">
        <v>966</v>
      </c>
    </row>
    <row r="1001" spans="12:13">
      <c r="L1001" s="69">
        <v>241131</v>
      </c>
      <c r="M1001" t="s">
        <v>967</v>
      </c>
    </row>
    <row r="1002" spans="12:13">
      <c r="L1002" s="69">
        <v>241132</v>
      </c>
      <c r="M1002" t="s">
        <v>968</v>
      </c>
    </row>
    <row r="1003" spans="12:13">
      <c r="L1003" s="69">
        <v>241140</v>
      </c>
      <c r="M1003" t="s">
        <v>969</v>
      </c>
    </row>
    <row r="1004" spans="12:13">
      <c r="L1004" s="69">
        <v>241141</v>
      </c>
      <c r="M1004" t="s">
        <v>969</v>
      </c>
    </row>
    <row r="1005" spans="12:13">
      <c r="L1005" s="69">
        <v>241150</v>
      </c>
      <c r="M1005" t="s">
        <v>970</v>
      </c>
    </row>
    <row r="1006" spans="12:13">
      <c r="L1006" s="69">
        <v>241151</v>
      </c>
      <c r="M1006" t="s">
        <v>970</v>
      </c>
    </row>
    <row r="1007" spans="12:13">
      <c r="L1007" s="69">
        <v>241160</v>
      </c>
      <c r="M1007" t="s">
        <v>971</v>
      </c>
    </row>
    <row r="1008" spans="12:13">
      <c r="L1008" s="69">
        <v>241161</v>
      </c>
      <c r="M1008" t="s">
        <v>971</v>
      </c>
    </row>
    <row r="1009" spans="12:13">
      <c r="L1009" s="69">
        <v>241170</v>
      </c>
      <c r="M1009" t="s">
        <v>972</v>
      </c>
    </row>
    <row r="1010" spans="12:13">
      <c r="L1010" s="69">
        <v>241171</v>
      </c>
      <c r="M1010" t="s">
        <v>972</v>
      </c>
    </row>
    <row r="1011" spans="12:13">
      <c r="L1011" s="69">
        <v>241180</v>
      </c>
      <c r="M1011" t="s">
        <v>973</v>
      </c>
    </row>
    <row r="1012" spans="12:13">
      <c r="L1012" s="69">
        <v>241181</v>
      </c>
      <c r="M1012" t="s">
        <v>973</v>
      </c>
    </row>
    <row r="1013" spans="12:13">
      <c r="L1013" s="69">
        <v>241200</v>
      </c>
      <c r="M1013" t="s">
        <v>974</v>
      </c>
    </row>
    <row r="1014" spans="12:13">
      <c r="L1014" s="69">
        <v>241210</v>
      </c>
      <c r="M1014" t="s">
        <v>975</v>
      </c>
    </row>
    <row r="1015" spans="12:13">
      <c r="L1015" s="69">
        <v>241211</v>
      </c>
      <c r="M1015" t="s">
        <v>976</v>
      </c>
    </row>
    <row r="1016" spans="12:13">
      <c r="L1016" s="69">
        <v>241212</v>
      </c>
      <c r="M1016" t="s">
        <v>977</v>
      </c>
    </row>
    <row r="1017" spans="12:13">
      <c r="L1017" s="69">
        <v>241220</v>
      </c>
      <c r="M1017" t="s">
        <v>978</v>
      </c>
    </row>
    <row r="1018" spans="12:13">
      <c r="L1018" s="69">
        <v>241221</v>
      </c>
      <c r="M1018" t="s">
        <v>979</v>
      </c>
    </row>
    <row r="1019" spans="12:13">
      <c r="L1019" s="69">
        <v>241222</v>
      </c>
      <c r="M1019" t="s">
        <v>980</v>
      </c>
    </row>
    <row r="1020" spans="12:13">
      <c r="L1020" s="69">
        <v>241229</v>
      </c>
      <c r="M1020" t="s">
        <v>981</v>
      </c>
    </row>
    <row r="1021" spans="12:13">
      <c r="L1021" s="69">
        <v>241230</v>
      </c>
      <c r="M1021" t="s">
        <v>982</v>
      </c>
    </row>
    <row r="1022" spans="12:13">
      <c r="L1022" s="69">
        <v>241231</v>
      </c>
      <c r="M1022" t="s">
        <v>983</v>
      </c>
    </row>
    <row r="1023" spans="12:13">
      <c r="L1023" s="69">
        <v>241232</v>
      </c>
      <c r="M1023" t="s">
        <v>984</v>
      </c>
    </row>
    <row r="1024" spans="12:13">
      <c r="L1024" s="69">
        <v>241233</v>
      </c>
      <c r="M1024" t="s">
        <v>985</v>
      </c>
    </row>
    <row r="1025" spans="12:13">
      <c r="L1025" s="69">
        <v>241234</v>
      </c>
      <c r="M1025" t="s">
        <v>986</v>
      </c>
    </row>
    <row r="1026" spans="12:13">
      <c r="L1026" s="69">
        <v>241235</v>
      </c>
      <c r="M1026" t="s">
        <v>987</v>
      </c>
    </row>
    <row r="1027" spans="12:13">
      <c r="L1027" s="69">
        <v>241239</v>
      </c>
      <c r="M1027" t="s">
        <v>988</v>
      </c>
    </row>
    <row r="1028" spans="12:13">
      <c r="L1028" s="69">
        <v>241240</v>
      </c>
      <c r="M1028" t="s">
        <v>989</v>
      </c>
    </row>
    <row r="1029" spans="12:13">
      <c r="L1029" s="69">
        <v>241241</v>
      </c>
      <c r="M1029" t="s">
        <v>990</v>
      </c>
    </row>
    <row r="1030" spans="12:13">
      <c r="L1030" s="69">
        <v>241249</v>
      </c>
      <c r="M1030" t="s">
        <v>991</v>
      </c>
    </row>
    <row r="1031" spans="12:13">
      <c r="L1031" s="69">
        <v>241250</v>
      </c>
      <c r="M1031" t="s">
        <v>992</v>
      </c>
    </row>
    <row r="1032" spans="12:13">
      <c r="L1032" s="69">
        <v>241251</v>
      </c>
      <c r="M1032" t="s">
        <v>992</v>
      </c>
    </row>
    <row r="1033" spans="12:13">
      <c r="L1033" s="69">
        <v>241260</v>
      </c>
      <c r="M1033" t="s">
        <v>993</v>
      </c>
    </row>
    <row r="1034" spans="12:13">
      <c r="L1034" s="69">
        <v>241261</v>
      </c>
      <c r="M1034" t="s">
        <v>993</v>
      </c>
    </row>
    <row r="1035" spans="12:13">
      <c r="L1035" s="69">
        <v>241300</v>
      </c>
      <c r="M1035" t="s">
        <v>994</v>
      </c>
    </row>
    <row r="1036" spans="12:13">
      <c r="L1036" s="69">
        <v>241310</v>
      </c>
      <c r="M1036" t="s">
        <v>994</v>
      </c>
    </row>
    <row r="1037" spans="12:13">
      <c r="L1037" s="69">
        <v>241311</v>
      </c>
      <c r="M1037" t="s">
        <v>994</v>
      </c>
    </row>
    <row r="1038" spans="12:13">
      <c r="L1038" s="69">
        <v>241400</v>
      </c>
      <c r="M1038" t="s">
        <v>995</v>
      </c>
    </row>
    <row r="1039" spans="12:13">
      <c r="L1039" s="69">
        <v>241410</v>
      </c>
      <c r="M1039" t="s">
        <v>995</v>
      </c>
    </row>
    <row r="1040" spans="12:13">
      <c r="L1040" s="69">
        <v>241411</v>
      </c>
      <c r="M1040" t="s">
        <v>996</v>
      </c>
    </row>
    <row r="1041" spans="12:13">
      <c r="L1041" s="69">
        <v>241412</v>
      </c>
      <c r="M1041" t="s">
        <v>997</v>
      </c>
    </row>
    <row r="1042" spans="12:13">
      <c r="L1042" s="69">
        <v>241413</v>
      </c>
      <c r="M1042" t="s">
        <v>998</v>
      </c>
    </row>
    <row r="1043" spans="12:13">
      <c r="L1043" s="69">
        <v>242000</v>
      </c>
      <c r="M1043" t="s">
        <v>999</v>
      </c>
    </row>
    <row r="1044" spans="12:13">
      <c r="L1044" s="69">
        <v>242100</v>
      </c>
      <c r="M1044" t="s">
        <v>1000</v>
      </c>
    </row>
    <row r="1045" spans="12:13">
      <c r="L1045" s="69">
        <v>242110</v>
      </c>
      <c r="M1045" t="s">
        <v>1001</v>
      </c>
    </row>
    <row r="1046" spans="12:13">
      <c r="L1046" s="69">
        <v>242111</v>
      </c>
      <c r="M1046" t="s">
        <v>1002</v>
      </c>
    </row>
    <row r="1047" spans="12:13">
      <c r="L1047" s="69">
        <v>242112</v>
      </c>
      <c r="M1047" t="s">
        <v>1003</v>
      </c>
    </row>
    <row r="1048" spans="12:13">
      <c r="L1048" s="69">
        <v>242113</v>
      </c>
      <c r="M1048" t="s">
        <v>1004</v>
      </c>
    </row>
    <row r="1049" spans="12:13">
      <c r="L1049" s="69">
        <v>242114</v>
      </c>
      <c r="M1049" t="s">
        <v>1005</v>
      </c>
    </row>
    <row r="1050" spans="12:13">
      <c r="L1050" s="69">
        <v>242119</v>
      </c>
      <c r="M1050" t="s">
        <v>1006</v>
      </c>
    </row>
    <row r="1051" spans="12:13">
      <c r="L1051" s="69">
        <v>242120</v>
      </c>
      <c r="M1051" t="s">
        <v>1007</v>
      </c>
    </row>
    <row r="1052" spans="12:13">
      <c r="L1052" s="69">
        <v>242121</v>
      </c>
      <c r="M1052" t="s">
        <v>1008</v>
      </c>
    </row>
    <row r="1053" spans="12:13">
      <c r="L1053" s="69">
        <v>242122</v>
      </c>
      <c r="M1053" t="s">
        <v>1009</v>
      </c>
    </row>
    <row r="1054" spans="12:13">
      <c r="L1054" s="69">
        <v>242123</v>
      </c>
      <c r="M1054" t="s">
        <v>1010</v>
      </c>
    </row>
    <row r="1055" spans="12:13">
      <c r="L1055" s="69">
        <v>242124</v>
      </c>
      <c r="M1055" t="s">
        <v>1011</v>
      </c>
    </row>
    <row r="1056" spans="12:13">
      <c r="L1056" s="69">
        <v>242129</v>
      </c>
      <c r="M1056" t="s">
        <v>1012</v>
      </c>
    </row>
    <row r="1057" spans="12:13">
      <c r="L1057" s="69">
        <v>242200</v>
      </c>
      <c r="M1057" t="s">
        <v>1013</v>
      </c>
    </row>
    <row r="1058" spans="12:13">
      <c r="L1058" s="69">
        <v>242210</v>
      </c>
      <c r="M1058" t="s">
        <v>1014</v>
      </c>
    </row>
    <row r="1059" spans="12:13">
      <c r="L1059" s="69">
        <v>242211</v>
      </c>
      <c r="M1059" t="s">
        <v>1015</v>
      </c>
    </row>
    <row r="1060" spans="12:13">
      <c r="L1060" s="69">
        <v>242219</v>
      </c>
      <c r="M1060" t="s">
        <v>1016</v>
      </c>
    </row>
    <row r="1061" spans="12:13">
      <c r="L1061" s="69">
        <v>242220</v>
      </c>
      <c r="M1061" t="s">
        <v>1017</v>
      </c>
    </row>
    <row r="1062" spans="12:13">
      <c r="L1062" s="69">
        <v>242221</v>
      </c>
      <c r="M1062" t="s">
        <v>1018</v>
      </c>
    </row>
    <row r="1063" spans="12:13">
      <c r="L1063" s="69">
        <v>242229</v>
      </c>
      <c r="M1063" t="s">
        <v>1019</v>
      </c>
    </row>
    <row r="1064" spans="12:13">
      <c r="L1064" s="69">
        <v>242300</v>
      </c>
      <c r="M1064" t="s">
        <v>1020</v>
      </c>
    </row>
    <row r="1065" spans="12:13">
      <c r="L1065" s="69">
        <v>242310</v>
      </c>
      <c r="M1065" t="s">
        <v>1021</v>
      </c>
    </row>
    <row r="1066" spans="12:13">
      <c r="L1066" s="69">
        <v>242311</v>
      </c>
      <c r="M1066" t="s">
        <v>1022</v>
      </c>
    </row>
    <row r="1067" spans="12:13">
      <c r="L1067" s="69">
        <v>242319</v>
      </c>
      <c r="M1067" t="s">
        <v>1023</v>
      </c>
    </row>
    <row r="1068" spans="12:13">
      <c r="L1068" s="69">
        <v>242320</v>
      </c>
      <c r="M1068" t="s">
        <v>1024</v>
      </c>
    </row>
    <row r="1069" spans="12:13">
      <c r="L1069" s="69">
        <v>242321</v>
      </c>
      <c r="M1069" t="s">
        <v>1025</v>
      </c>
    </row>
    <row r="1070" spans="12:13">
      <c r="L1070" s="69">
        <v>242329</v>
      </c>
      <c r="M1070" t="s">
        <v>1026</v>
      </c>
    </row>
    <row r="1071" spans="12:13">
      <c r="L1071" s="69">
        <v>242400</v>
      </c>
      <c r="M1071" t="s">
        <v>1027</v>
      </c>
    </row>
    <row r="1072" spans="12:13">
      <c r="L1072" s="69">
        <v>242410</v>
      </c>
      <c r="M1072" t="s">
        <v>1028</v>
      </c>
    </row>
    <row r="1073" spans="12:13">
      <c r="L1073" s="69">
        <v>242411</v>
      </c>
      <c r="M1073" t="s">
        <v>1028</v>
      </c>
    </row>
    <row r="1074" spans="12:13">
      <c r="L1074" s="69">
        <v>242420</v>
      </c>
      <c r="M1074" t="s">
        <v>1029</v>
      </c>
    </row>
    <row r="1075" spans="12:13">
      <c r="L1075" s="69">
        <v>242421</v>
      </c>
      <c r="M1075" t="s">
        <v>1029</v>
      </c>
    </row>
    <row r="1076" spans="12:13">
      <c r="L1076" s="69">
        <v>243000</v>
      </c>
      <c r="M1076" t="s">
        <v>1030</v>
      </c>
    </row>
    <row r="1077" spans="12:13">
      <c r="L1077" s="69">
        <v>243100</v>
      </c>
      <c r="M1077" t="s">
        <v>1031</v>
      </c>
    </row>
    <row r="1078" spans="12:13">
      <c r="L1078" s="69">
        <v>243110</v>
      </c>
      <c r="M1078" t="s">
        <v>1032</v>
      </c>
    </row>
    <row r="1079" spans="12:13">
      <c r="L1079" s="69">
        <v>243111</v>
      </c>
      <c r="M1079" t="s">
        <v>1032</v>
      </c>
    </row>
    <row r="1080" spans="12:13">
      <c r="L1080" s="69">
        <v>243120</v>
      </c>
      <c r="M1080" t="s">
        <v>1033</v>
      </c>
    </row>
    <row r="1081" spans="12:13">
      <c r="L1081" s="69">
        <v>243121</v>
      </c>
      <c r="M1081" t="s">
        <v>1033</v>
      </c>
    </row>
    <row r="1082" spans="12:13">
      <c r="L1082" s="69">
        <v>243200</v>
      </c>
      <c r="M1082" t="s">
        <v>1034</v>
      </c>
    </row>
    <row r="1083" spans="12:13">
      <c r="L1083" s="69">
        <v>243210</v>
      </c>
      <c r="M1083" t="s">
        <v>1035</v>
      </c>
    </row>
    <row r="1084" spans="12:13">
      <c r="L1084" s="69">
        <v>243211</v>
      </c>
      <c r="M1084" t="s">
        <v>1036</v>
      </c>
    </row>
    <row r="1085" spans="12:13">
      <c r="L1085" s="69">
        <v>243212</v>
      </c>
      <c r="M1085" t="s">
        <v>1037</v>
      </c>
    </row>
    <row r="1086" spans="12:13">
      <c r="L1086" s="69">
        <v>243219</v>
      </c>
      <c r="M1086" t="s">
        <v>1038</v>
      </c>
    </row>
    <row r="1087" spans="12:13">
      <c r="L1087" s="69">
        <v>243220</v>
      </c>
      <c r="M1087" t="s">
        <v>1039</v>
      </c>
    </row>
    <row r="1088" spans="12:13">
      <c r="L1088" s="69">
        <v>243221</v>
      </c>
      <c r="M1088" t="s">
        <v>1040</v>
      </c>
    </row>
    <row r="1089" spans="12:13">
      <c r="L1089" s="69">
        <v>243222</v>
      </c>
      <c r="M1089" t="s">
        <v>1041</v>
      </c>
    </row>
    <row r="1090" spans="12:13">
      <c r="L1090" s="69">
        <v>243229</v>
      </c>
      <c r="M1090" t="s">
        <v>1042</v>
      </c>
    </row>
    <row r="1091" spans="12:13">
      <c r="L1091" s="69">
        <v>243300</v>
      </c>
      <c r="M1091" t="s">
        <v>1043</v>
      </c>
    </row>
    <row r="1092" spans="12:13">
      <c r="L1092" s="69">
        <v>243310</v>
      </c>
      <c r="M1092" t="s">
        <v>1044</v>
      </c>
    </row>
    <row r="1093" spans="12:13">
      <c r="L1093" s="69">
        <v>243311</v>
      </c>
      <c r="M1093" t="s">
        <v>1045</v>
      </c>
    </row>
    <row r="1094" spans="12:13">
      <c r="L1094" s="69">
        <v>243312</v>
      </c>
      <c r="M1094" t="s">
        <v>1046</v>
      </c>
    </row>
    <row r="1095" spans="12:13">
      <c r="L1095" s="69">
        <v>243313</v>
      </c>
      <c r="M1095" t="s">
        <v>1047</v>
      </c>
    </row>
    <row r="1096" spans="12:13">
      <c r="L1096" s="69">
        <v>243314</v>
      </c>
      <c r="M1096" t="s">
        <v>1048</v>
      </c>
    </row>
    <row r="1097" spans="12:13">
      <c r="L1097" s="69">
        <v>243320</v>
      </c>
      <c r="M1097" t="s">
        <v>1049</v>
      </c>
    </row>
    <row r="1098" spans="12:13">
      <c r="L1098" s="69">
        <v>243321</v>
      </c>
      <c r="M1098" t="s">
        <v>1050</v>
      </c>
    </row>
    <row r="1099" spans="12:13">
      <c r="L1099" s="69">
        <v>243322</v>
      </c>
      <c r="M1099" t="s">
        <v>1051</v>
      </c>
    </row>
    <row r="1100" spans="12:13">
      <c r="L1100" s="69">
        <v>243323</v>
      </c>
      <c r="M1100" t="s">
        <v>1052</v>
      </c>
    </row>
    <row r="1101" spans="12:13">
      <c r="L1101" s="69">
        <v>243324</v>
      </c>
      <c r="M1101" t="s">
        <v>1053</v>
      </c>
    </row>
    <row r="1102" spans="12:13">
      <c r="L1102" s="69">
        <v>243400</v>
      </c>
      <c r="M1102" t="s">
        <v>1054</v>
      </c>
    </row>
    <row r="1103" spans="12:13">
      <c r="L1103" s="69">
        <v>243410</v>
      </c>
      <c r="M1103" t="s">
        <v>1055</v>
      </c>
    </row>
    <row r="1104" spans="12:13">
      <c r="L1104" s="69">
        <v>243411</v>
      </c>
      <c r="M1104" t="s">
        <v>1056</v>
      </c>
    </row>
    <row r="1105" spans="12:13">
      <c r="L1105" s="69">
        <v>243412</v>
      </c>
      <c r="M1105" t="s">
        <v>1057</v>
      </c>
    </row>
    <row r="1106" spans="12:13">
      <c r="L1106" s="69">
        <v>243413</v>
      </c>
      <c r="M1106" t="s">
        <v>1058</v>
      </c>
    </row>
    <row r="1107" spans="12:13">
      <c r="L1107" s="69">
        <v>243414</v>
      </c>
      <c r="M1107" t="s">
        <v>1059</v>
      </c>
    </row>
    <row r="1108" spans="12:13">
      <c r="L1108" s="69">
        <v>243415</v>
      </c>
      <c r="M1108" t="s">
        <v>1060</v>
      </c>
    </row>
    <row r="1109" spans="12:13">
      <c r="L1109" s="69">
        <v>243420</v>
      </c>
      <c r="M1109" t="s">
        <v>1061</v>
      </c>
    </row>
    <row r="1110" spans="12:13">
      <c r="L1110" s="69">
        <v>243421</v>
      </c>
      <c r="M1110" t="s">
        <v>1062</v>
      </c>
    </row>
    <row r="1111" spans="12:13">
      <c r="L1111" s="69">
        <v>243422</v>
      </c>
      <c r="M1111" t="s">
        <v>1063</v>
      </c>
    </row>
    <row r="1112" spans="12:13">
      <c r="L1112" s="69">
        <v>243425</v>
      </c>
      <c r="M1112" t="s">
        <v>1064</v>
      </c>
    </row>
    <row r="1113" spans="12:13">
      <c r="L1113" s="69">
        <v>244000</v>
      </c>
      <c r="M1113" t="s">
        <v>1065</v>
      </c>
    </row>
    <row r="1114" spans="12:13">
      <c r="L1114" s="69">
        <v>244100</v>
      </c>
      <c r="M1114" t="s">
        <v>1066</v>
      </c>
    </row>
    <row r="1115" spans="12:13">
      <c r="L1115" s="69">
        <v>244110</v>
      </c>
      <c r="M1115" t="s">
        <v>1067</v>
      </c>
    </row>
    <row r="1116" spans="12:13">
      <c r="L1116" s="69">
        <v>244111</v>
      </c>
      <c r="M1116" t="s">
        <v>1068</v>
      </c>
    </row>
    <row r="1117" spans="12:13">
      <c r="L1117" s="69">
        <v>244112</v>
      </c>
      <c r="M1117" t="s">
        <v>1069</v>
      </c>
    </row>
    <row r="1118" spans="12:13">
      <c r="L1118" s="69">
        <v>244113</v>
      </c>
      <c r="M1118" t="s">
        <v>1070</v>
      </c>
    </row>
    <row r="1119" spans="12:13">
      <c r="L1119" s="69">
        <v>244114</v>
      </c>
      <c r="M1119" t="s">
        <v>1071</v>
      </c>
    </row>
    <row r="1120" spans="12:13">
      <c r="L1120" s="69">
        <v>244119</v>
      </c>
      <c r="M1120" t="s">
        <v>1072</v>
      </c>
    </row>
    <row r="1121" spans="12:13">
      <c r="L1121" s="69">
        <v>244120</v>
      </c>
      <c r="M1121" t="s">
        <v>1073</v>
      </c>
    </row>
    <row r="1122" spans="12:13">
      <c r="L1122" s="69">
        <v>244121</v>
      </c>
      <c r="M1122" t="s">
        <v>1074</v>
      </c>
    </row>
    <row r="1123" spans="12:13">
      <c r="L1123" s="69">
        <v>244122</v>
      </c>
      <c r="M1123" t="s">
        <v>1075</v>
      </c>
    </row>
    <row r="1124" spans="12:13">
      <c r="L1124" s="69">
        <v>244123</v>
      </c>
      <c r="M1124" t="s">
        <v>1076</v>
      </c>
    </row>
    <row r="1125" spans="12:13">
      <c r="L1125" s="69">
        <v>244124</v>
      </c>
      <c r="M1125" t="s">
        <v>1077</v>
      </c>
    </row>
    <row r="1126" spans="12:13">
      <c r="L1126" s="69">
        <v>244125</v>
      </c>
      <c r="M1126" t="s">
        <v>1078</v>
      </c>
    </row>
    <row r="1127" spans="12:13">
      <c r="L1127" s="69">
        <v>244126</v>
      </c>
      <c r="M1127" t="s">
        <v>1079</v>
      </c>
    </row>
    <row r="1128" spans="12:13">
      <c r="L1128" s="69">
        <v>244129</v>
      </c>
      <c r="M1128" t="s">
        <v>1080</v>
      </c>
    </row>
    <row r="1129" spans="12:13">
      <c r="L1129" s="69">
        <v>244190</v>
      </c>
      <c r="M1129" t="s">
        <v>1081</v>
      </c>
    </row>
    <row r="1130" spans="12:13">
      <c r="L1130" s="69">
        <v>244191</v>
      </c>
      <c r="M1130" t="s">
        <v>1082</v>
      </c>
    </row>
    <row r="1131" spans="12:13">
      <c r="L1131" s="69">
        <v>244192</v>
      </c>
      <c r="M1131" t="s">
        <v>1083</v>
      </c>
    </row>
    <row r="1132" spans="12:13">
      <c r="L1132" s="69">
        <v>244193</v>
      </c>
      <c r="M1132" t="s">
        <v>1084</v>
      </c>
    </row>
    <row r="1133" spans="12:13">
      <c r="L1133" s="69">
        <v>244194</v>
      </c>
      <c r="M1133" t="s">
        <v>1085</v>
      </c>
    </row>
    <row r="1134" spans="12:13">
      <c r="L1134" s="69">
        <v>244195</v>
      </c>
      <c r="M1134" t="s">
        <v>1086</v>
      </c>
    </row>
    <row r="1135" spans="12:13">
      <c r="L1135" s="69">
        <v>244200</v>
      </c>
      <c r="M1135" t="s">
        <v>1087</v>
      </c>
    </row>
    <row r="1136" spans="12:13">
      <c r="L1136" s="69">
        <v>244210</v>
      </c>
      <c r="M1136" t="s">
        <v>1088</v>
      </c>
    </row>
    <row r="1137" spans="12:13">
      <c r="L1137" s="69">
        <v>244211</v>
      </c>
      <c r="M1137" t="s">
        <v>1089</v>
      </c>
    </row>
    <row r="1138" spans="12:13">
      <c r="L1138" s="69">
        <v>244212</v>
      </c>
      <c r="M1138" t="s">
        <v>1090</v>
      </c>
    </row>
    <row r="1139" spans="12:13">
      <c r="L1139" s="69">
        <v>244213</v>
      </c>
      <c r="M1139" t="s">
        <v>1091</v>
      </c>
    </row>
    <row r="1140" spans="12:13">
      <c r="L1140" s="69">
        <v>244220</v>
      </c>
      <c r="M1140" t="s">
        <v>1092</v>
      </c>
    </row>
    <row r="1141" spans="12:13">
      <c r="L1141" s="69">
        <v>244221</v>
      </c>
      <c r="M1141" t="s">
        <v>1092</v>
      </c>
    </row>
    <row r="1142" spans="12:13">
      <c r="L1142" s="69">
        <v>244230</v>
      </c>
      <c r="M1142" t="s">
        <v>1093</v>
      </c>
    </row>
    <row r="1143" spans="12:13">
      <c r="L1143" s="69">
        <v>244231</v>
      </c>
      <c r="M1143" t="s">
        <v>1093</v>
      </c>
    </row>
    <row r="1144" spans="12:13">
      <c r="L1144" s="69">
        <v>244240</v>
      </c>
      <c r="M1144" t="s">
        <v>1094</v>
      </c>
    </row>
    <row r="1145" spans="12:13">
      <c r="L1145" s="69">
        <v>244241</v>
      </c>
      <c r="M1145" t="s">
        <v>1094</v>
      </c>
    </row>
    <row r="1146" spans="12:13">
      <c r="L1146" s="69">
        <v>244250</v>
      </c>
      <c r="M1146" t="s">
        <v>1095</v>
      </c>
    </row>
    <row r="1147" spans="12:13">
      <c r="L1147" s="69">
        <v>244251</v>
      </c>
      <c r="M1147" t="s">
        <v>1096</v>
      </c>
    </row>
    <row r="1148" spans="12:13">
      <c r="L1148" s="69">
        <v>244252</v>
      </c>
      <c r="M1148" t="s">
        <v>1097</v>
      </c>
    </row>
    <row r="1149" spans="12:13">
      <c r="L1149" s="69">
        <v>244260</v>
      </c>
      <c r="M1149" t="s">
        <v>1098</v>
      </c>
    </row>
    <row r="1150" spans="12:13">
      <c r="L1150" s="69">
        <v>244261</v>
      </c>
      <c r="M1150" t="s">
        <v>1098</v>
      </c>
    </row>
    <row r="1151" spans="12:13">
      <c r="L1151" s="69">
        <v>244270</v>
      </c>
      <c r="M1151" t="s">
        <v>1099</v>
      </c>
    </row>
    <row r="1152" spans="12:13">
      <c r="L1152" s="69">
        <v>244271</v>
      </c>
      <c r="M1152" t="s">
        <v>1100</v>
      </c>
    </row>
    <row r="1153" spans="12:13">
      <c r="L1153" s="69">
        <v>244272</v>
      </c>
      <c r="M1153" t="s">
        <v>1101</v>
      </c>
    </row>
    <row r="1154" spans="12:13">
      <c r="L1154" s="69">
        <v>244273</v>
      </c>
      <c r="M1154" t="s">
        <v>1102</v>
      </c>
    </row>
    <row r="1155" spans="12:13">
      <c r="L1155" s="69">
        <v>244274</v>
      </c>
      <c r="M1155" t="s">
        <v>1103</v>
      </c>
    </row>
    <row r="1156" spans="12:13">
      <c r="L1156" s="69">
        <v>244280</v>
      </c>
      <c r="M1156" t="s">
        <v>1104</v>
      </c>
    </row>
    <row r="1157" spans="12:13">
      <c r="L1157" s="69">
        <v>244281</v>
      </c>
      <c r="M1157" t="s">
        <v>1104</v>
      </c>
    </row>
    <row r="1158" spans="12:13">
      <c r="L1158" s="69">
        <v>244290</v>
      </c>
      <c r="M1158" t="s">
        <v>1105</v>
      </c>
    </row>
    <row r="1159" spans="12:13">
      <c r="L1159" s="69">
        <v>244291</v>
      </c>
      <c r="M1159" t="s">
        <v>1106</v>
      </c>
    </row>
    <row r="1160" spans="12:13">
      <c r="L1160" s="69">
        <v>244292</v>
      </c>
      <c r="M1160" t="s">
        <v>1107</v>
      </c>
    </row>
    <row r="1161" spans="12:13">
      <c r="L1161" s="69">
        <v>244293</v>
      </c>
      <c r="M1161" t="s">
        <v>1108</v>
      </c>
    </row>
    <row r="1162" spans="12:13">
      <c r="L1162" s="69">
        <v>245000</v>
      </c>
      <c r="M1162" t="s">
        <v>1109</v>
      </c>
    </row>
    <row r="1163" spans="12:13">
      <c r="L1163" s="69">
        <v>245100</v>
      </c>
      <c r="M1163" t="s">
        <v>1110</v>
      </c>
    </row>
    <row r="1164" spans="12:13">
      <c r="L1164" s="69">
        <v>245110</v>
      </c>
      <c r="M1164" t="s">
        <v>1111</v>
      </c>
    </row>
    <row r="1165" spans="12:13">
      <c r="L1165" s="69">
        <v>245111</v>
      </c>
      <c r="M1165" t="s">
        <v>1111</v>
      </c>
    </row>
    <row r="1166" spans="12:13">
      <c r="L1166" s="69">
        <v>245112</v>
      </c>
      <c r="M1166" t="s">
        <v>1112</v>
      </c>
    </row>
    <row r="1167" spans="12:13">
      <c r="L1167" s="69">
        <v>245113</v>
      </c>
      <c r="M1167" t="s">
        <v>1113</v>
      </c>
    </row>
    <row r="1168" spans="12:13">
      <c r="L1168" s="69">
        <v>245190</v>
      </c>
      <c r="M1168" t="s">
        <v>1114</v>
      </c>
    </row>
    <row r="1169" spans="12:13">
      <c r="L1169" s="69">
        <v>245191</v>
      </c>
      <c r="M1169" t="s">
        <v>1115</v>
      </c>
    </row>
    <row r="1170" spans="12:13">
      <c r="L1170" s="69">
        <v>245192</v>
      </c>
      <c r="M1170" t="s">
        <v>1116</v>
      </c>
    </row>
    <row r="1171" spans="12:13">
      <c r="L1171" s="69">
        <v>245193</v>
      </c>
      <c r="M1171" t="s">
        <v>1117</v>
      </c>
    </row>
    <row r="1172" spans="12:13">
      <c r="L1172" s="69">
        <v>245194</v>
      </c>
      <c r="M1172" t="s">
        <v>1118</v>
      </c>
    </row>
    <row r="1173" spans="12:13">
      <c r="L1173" s="69">
        <v>245195</v>
      </c>
      <c r="M1173" t="s">
        <v>1119</v>
      </c>
    </row>
    <row r="1174" spans="12:13">
      <c r="L1174" s="69">
        <v>245196</v>
      </c>
      <c r="M1174" t="s">
        <v>1120</v>
      </c>
    </row>
    <row r="1175" spans="12:13">
      <c r="L1175" s="69">
        <v>245199</v>
      </c>
      <c r="M1175" t="s">
        <v>1114</v>
      </c>
    </row>
    <row r="1176" spans="12:13">
      <c r="L1176" s="69">
        <v>245200</v>
      </c>
      <c r="M1176" t="s">
        <v>1121</v>
      </c>
    </row>
    <row r="1177" spans="12:13">
      <c r="L1177" s="69">
        <v>245210</v>
      </c>
      <c r="M1177" t="s">
        <v>1122</v>
      </c>
    </row>
    <row r="1178" spans="12:13">
      <c r="L1178" s="69">
        <v>245211</v>
      </c>
      <c r="M1178" t="s">
        <v>1123</v>
      </c>
    </row>
    <row r="1179" spans="12:13">
      <c r="L1179" s="69">
        <v>245212</v>
      </c>
      <c r="M1179" t="s">
        <v>1124</v>
      </c>
    </row>
    <row r="1180" spans="12:13">
      <c r="L1180" s="69">
        <v>245213</v>
      </c>
      <c r="M1180" t="s">
        <v>1125</v>
      </c>
    </row>
    <row r="1181" spans="12:13">
      <c r="L1181" s="69">
        <v>245214</v>
      </c>
      <c r="M1181" t="s">
        <v>1126</v>
      </c>
    </row>
    <row r="1182" spans="12:13">
      <c r="L1182" s="69">
        <v>245219</v>
      </c>
      <c r="M1182" t="s">
        <v>1127</v>
      </c>
    </row>
    <row r="1183" spans="12:13">
      <c r="L1183" s="69">
        <v>245220</v>
      </c>
      <c r="M1183" t="s">
        <v>1128</v>
      </c>
    </row>
    <row r="1184" spans="12:13">
      <c r="L1184" s="69">
        <v>245221</v>
      </c>
      <c r="M1184" t="s">
        <v>1129</v>
      </c>
    </row>
    <row r="1185" spans="12:13">
      <c r="L1185" s="69">
        <v>245222</v>
      </c>
      <c r="M1185" t="s">
        <v>1130</v>
      </c>
    </row>
    <row r="1186" spans="12:13">
      <c r="L1186" s="69">
        <v>245223</v>
      </c>
      <c r="M1186" t="s">
        <v>1131</v>
      </c>
    </row>
    <row r="1187" spans="12:13">
      <c r="L1187" s="69">
        <v>245224</v>
      </c>
      <c r="M1187" t="s">
        <v>1132</v>
      </c>
    </row>
    <row r="1188" spans="12:13">
      <c r="L1188" s="69">
        <v>245225</v>
      </c>
      <c r="M1188" t="s">
        <v>1133</v>
      </c>
    </row>
    <row r="1189" spans="12:13">
      <c r="L1189" s="69">
        <v>245230</v>
      </c>
      <c r="M1189" t="s">
        <v>1134</v>
      </c>
    </row>
    <row r="1190" spans="12:13">
      <c r="L1190" s="69">
        <v>245231</v>
      </c>
      <c r="M1190" t="s">
        <v>1135</v>
      </c>
    </row>
    <row r="1191" spans="12:13">
      <c r="L1191" s="69">
        <v>245232</v>
      </c>
      <c r="M1191" t="s">
        <v>1136</v>
      </c>
    </row>
    <row r="1192" spans="12:13">
      <c r="L1192" s="69">
        <v>245233</v>
      </c>
      <c r="M1192" t="s">
        <v>1137</v>
      </c>
    </row>
    <row r="1193" spans="12:13">
      <c r="L1193" s="69">
        <v>245234</v>
      </c>
      <c r="M1193" t="s">
        <v>1138</v>
      </c>
    </row>
    <row r="1194" spans="12:13">
      <c r="L1194" s="69">
        <v>245240</v>
      </c>
      <c r="M1194" t="s">
        <v>1139</v>
      </c>
    </row>
    <row r="1195" spans="12:13">
      <c r="L1195" s="69">
        <v>245241</v>
      </c>
      <c r="M1195" t="s">
        <v>1140</v>
      </c>
    </row>
    <row r="1196" spans="12:13">
      <c r="L1196" s="69">
        <v>245242</v>
      </c>
      <c r="M1196" t="s">
        <v>1141</v>
      </c>
    </row>
    <row r="1197" spans="12:13">
      <c r="L1197" s="69">
        <v>245243</v>
      </c>
      <c r="M1197" t="s">
        <v>1142</v>
      </c>
    </row>
    <row r="1198" spans="12:13">
      <c r="L1198" s="69">
        <v>245244</v>
      </c>
      <c r="M1198" t="s">
        <v>1143</v>
      </c>
    </row>
    <row r="1199" spans="12:13">
      <c r="L1199" s="69">
        <v>245245</v>
      </c>
      <c r="M1199" t="s">
        <v>1144</v>
      </c>
    </row>
    <row r="1200" spans="12:13">
      <c r="L1200" s="69">
        <v>245246</v>
      </c>
      <c r="M1200" t="s">
        <v>1145</v>
      </c>
    </row>
    <row r="1201" spans="12:13">
      <c r="L1201" s="69">
        <v>245247</v>
      </c>
      <c r="M1201" t="s">
        <v>1146</v>
      </c>
    </row>
    <row r="1202" spans="12:13">
      <c r="L1202" s="69">
        <v>245248</v>
      </c>
      <c r="M1202" t="s">
        <v>1147</v>
      </c>
    </row>
    <row r="1203" spans="12:13">
      <c r="L1203" s="69">
        <v>245249</v>
      </c>
      <c r="M1203" t="s">
        <v>1148</v>
      </c>
    </row>
    <row r="1204" spans="12:13">
      <c r="L1204" s="69">
        <v>245300</v>
      </c>
      <c r="M1204" t="s">
        <v>1149</v>
      </c>
    </row>
    <row r="1205" spans="12:13">
      <c r="L1205" s="69">
        <v>245310</v>
      </c>
      <c r="M1205" t="s">
        <v>1149</v>
      </c>
    </row>
    <row r="1206" spans="12:13">
      <c r="L1206" s="69">
        <v>245311</v>
      </c>
      <c r="M1206" t="s">
        <v>1149</v>
      </c>
    </row>
    <row r="1207" spans="12:13">
      <c r="L1207" s="69">
        <v>245400</v>
      </c>
      <c r="M1207" t="s">
        <v>1150</v>
      </c>
    </row>
    <row r="1208" spans="12:13">
      <c r="L1208" s="69">
        <v>245410</v>
      </c>
      <c r="M1208" t="s">
        <v>1150</v>
      </c>
    </row>
    <row r="1209" spans="12:13">
      <c r="L1209" s="69">
        <v>245411</v>
      </c>
      <c r="M1209" t="s">
        <v>1150</v>
      </c>
    </row>
    <row r="1210" spans="12:13">
      <c r="L1210" s="69">
        <v>245420</v>
      </c>
      <c r="M1210" t="s">
        <v>1151</v>
      </c>
    </row>
    <row r="1211" spans="12:13">
      <c r="L1211" s="69">
        <v>245421</v>
      </c>
      <c r="M1211" t="s">
        <v>1151</v>
      </c>
    </row>
    <row r="1212" spans="12:13">
      <c r="L1212" s="69">
        <v>245500</v>
      </c>
      <c r="M1212" t="s">
        <v>1152</v>
      </c>
    </row>
    <row r="1213" spans="12:13">
      <c r="L1213" s="69">
        <v>245510</v>
      </c>
      <c r="M1213" t="s">
        <v>1152</v>
      </c>
    </row>
    <row r="1214" spans="12:13">
      <c r="L1214" s="69">
        <v>245511</v>
      </c>
      <c r="M1214" t="s">
        <v>1152</v>
      </c>
    </row>
    <row r="1215" spans="12:13">
      <c r="L1215" s="69">
        <v>250000</v>
      </c>
      <c r="M1215" t="s">
        <v>1153</v>
      </c>
    </row>
    <row r="1216" spans="12:13">
      <c r="L1216" s="69">
        <v>251000</v>
      </c>
      <c r="M1216" t="s">
        <v>1154</v>
      </c>
    </row>
    <row r="1217" spans="12:13">
      <c r="L1217" s="69">
        <v>251100</v>
      </c>
      <c r="M1217" t="s">
        <v>1155</v>
      </c>
    </row>
    <row r="1218" spans="12:13">
      <c r="L1218" s="69">
        <v>251110</v>
      </c>
      <c r="M1218" t="s">
        <v>1155</v>
      </c>
    </row>
    <row r="1219" spans="12:13">
      <c r="L1219" s="69">
        <v>251111</v>
      </c>
      <c r="M1219" t="s">
        <v>1155</v>
      </c>
    </row>
    <row r="1220" spans="12:13">
      <c r="L1220" s="69">
        <v>251200</v>
      </c>
      <c r="M1220" t="s">
        <v>1156</v>
      </c>
    </row>
    <row r="1221" spans="12:13">
      <c r="L1221" s="69">
        <v>251210</v>
      </c>
      <c r="M1221" t="s">
        <v>1156</v>
      </c>
    </row>
    <row r="1222" spans="12:13">
      <c r="L1222" s="69">
        <v>251211</v>
      </c>
      <c r="M1222" t="s">
        <v>1156</v>
      </c>
    </row>
    <row r="1223" spans="12:13">
      <c r="L1223" s="69">
        <v>251212</v>
      </c>
      <c r="M1223" t="s">
        <v>1157</v>
      </c>
    </row>
    <row r="1224" spans="12:13">
      <c r="L1224" s="69">
        <v>251219</v>
      </c>
      <c r="M1224" t="s">
        <v>1158</v>
      </c>
    </row>
    <row r="1225" spans="12:13">
      <c r="L1225" s="69">
        <v>251300</v>
      </c>
      <c r="M1225" t="s">
        <v>1159</v>
      </c>
    </row>
    <row r="1226" spans="12:13">
      <c r="L1226" s="69">
        <v>251310</v>
      </c>
      <c r="M1226" t="s">
        <v>1159</v>
      </c>
    </row>
    <row r="1227" spans="12:13">
      <c r="L1227" s="69">
        <v>251311</v>
      </c>
      <c r="M1227" t="s">
        <v>1159</v>
      </c>
    </row>
    <row r="1228" spans="12:13">
      <c r="L1228" s="69">
        <v>252000</v>
      </c>
      <c r="M1228" t="s">
        <v>1160</v>
      </c>
    </row>
    <row r="1229" spans="12:13">
      <c r="L1229" s="69">
        <v>252100</v>
      </c>
      <c r="M1229" t="s">
        <v>1161</v>
      </c>
    </row>
    <row r="1230" spans="12:13">
      <c r="L1230" s="69">
        <v>252110</v>
      </c>
      <c r="M1230" t="s">
        <v>1161</v>
      </c>
    </row>
    <row r="1231" spans="12:13">
      <c r="L1231" s="69">
        <v>252111</v>
      </c>
      <c r="M1231" t="s">
        <v>1161</v>
      </c>
    </row>
    <row r="1232" spans="12:13">
      <c r="L1232" s="69">
        <v>252200</v>
      </c>
      <c r="M1232" t="s">
        <v>1162</v>
      </c>
    </row>
    <row r="1233" spans="12:13">
      <c r="L1233" s="69">
        <v>252210</v>
      </c>
      <c r="M1233" t="s">
        <v>1162</v>
      </c>
    </row>
    <row r="1234" spans="12:13">
      <c r="L1234" s="69">
        <v>252211</v>
      </c>
      <c r="M1234" t="s">
        <v>1162</v>
      </c>
    </row>
    <row r="1235" spans="12:13">
      <c r="L1235" s="69">
        <v>253000</v>
      </c>
      <c r="M1235" t="s">
        <v>1163</v>
      </c>
    </row>
    <row r="1236" spans="12:13">
      <c r="L1236" s="69">
        <v>253100</v>
      </c>
      <c r="M1236" t="s">
        <v>1163</v>
      </c>
    </row>
    <row r="1237" spans="12:13">
      <c r="L1237" s="69">
        <v>253110</v>
      </c>
      <c r="M1237" t="s">
        <v>1163</v>
      </c>
    </row>
    <row r="1238" spans="12:13">
      <c r="L1238" s="69">
        <v>253111</v>
      </c>
      <c r="M1238" t="s">
        <v>1164</v>
      </c>
    </row>
    <row r="1239" spans="12:13">
      <c r="L1239" s="69">
        <v>253112</v>
      </c>
      <c r="M1239" t="s">
        <v>1165</v>
      </c>
    </row>
    <row r="1240" spans="12:13">
      <c r="L1240" s="69">
        <v>254000</v>
      </c>
      <c r="M1240" t="s">
        <v>1166</v>
      </c>
    </row>
    <row r="1241" spans="12:13">
      <c r="L1241" s="69">
        <v>254100</v>
      </c>
      <c r="M1241" t="s">
        <v>1167</v>
      </c>
    </row>
    <row r="1242" spans="12:13">
      <c r="L1242" s="69">
        <v>254110</v>
      </c>
      <c r="M1242" t="s">
        <v>1167</v>
      </c>
    </row>
    <row r="1243" spans="12:13">
      <c r="L1243" s="69">
        <v>254111</v>
      </c>
      <c r="M1243" t="s">
        <v>1168</v>
      </c>
    </row>
    <row r="1244" spans="12:13">
      <c r="L1244" s="69">
        <v>254112</v>
      </c>
      <c r="M1244" t="s">
        <v>1169</v>
      </c>
    </row>
    <row r="1245" spans="12:13">
      <c r="L1245" s="69">
        <v>254113</v>
      </c>
      <c r="M1245" t="s">
        <v>1170</v>
      </c>
    </row>
    <row r="1246" spans="12:13">
      <c r="L1246" s="69">
        <v>254114</v>
      </c>
      <c r="M1246" t="s">
        <v>1171</v>
      </c>
    </row>
    <row r="1247" spans="12:13">
      <c r="L1247" s="69">
        <v>254200</v>
      </c>
      <c r="M1247" t="s">
        <v>1172</v>
      </c>
    </row>
    <row r="1248" spans="12:13">
      <c r="L1248" s="69">
        <v>254210</v>
      </c>
      <c r="M1248" t="s">
        <v>1172</v>
      </c>
    </row>
    <row r="1249" spans="12:13">
      <c r="L1249" s="69">
        <v>254211</v>
      </c>
      <c r="M1249" t="s">
        <v>1172</v>
      </c>
    </row>
    <row r="1250" spans="12:13">
      <c r="L1250" s="69">
        <v>254900</v>
      </c>
      <c r="M1250" t="s">
        <v>1173</v>
      </c>
    </row>
    <row r="1251" spans="12:13">
      <c r="L1251" s="69">
        <v>254910</v>
      </c>
      <c r="M1251" t="s">
        <v>1174</v>
      </c>
    </row>
    <row r="1252" spans="12:13">
      <c r="L1252" s="69">
        <v>254911</v>
      </c>
      <c r="M1252" t="s">
        <v>1175</v>
      </c>
    </row>
    <row r="1253" spans="12:13">
      <c r="L1253" s="69">
        <v>254912</v>
      </c>
      <c r="M1253" t="s">
        <v>1176</v>
      </c>
    </row>
    <row r="1254" spans="12:13">
      <c r="L1254" s="69">
        <v>254913</v>
      </c>
      <c r="M1254" t="s">
        <v>1177</v>
      </c>
    </row>
    <row r="1255" spans="12:13">
      <c r="L1255" s="69">
        <v>254920</v>
      </c>
      <c r="M1255" t="s">
        <v>1178</v>
      </c>
    </row>
    <row r="1256" spans="12:13">
      <c r="L1256" s="69">
        <v>254921</v>
      </c>
      <c r="M1256" t="s">
        <v>1179</v>
      </c>
    </row>
    <row r="1257" spans="12:13">
      <c r="L1257" s="69">
        <v>254922</v>
      </c>
      <c r="M1257" t="s">
        <v>1180</v>
      </c>
    </row>
    <row r="1258" spans="12:13">
      <c r="L1258" s="69">
        <v>254930</v>
      </c>
      <c r="M1258" t="s">
        <v>1181</v>
      </c>
    </row>
    <row r="1259" spans="12:13">
      <c r="L1259" s="69">
        <v>254931</v>
      </c>
      <c r="M1259" t="s">
        <v>1181</v>
      </c>
    </row>
    <row r="1260" spans="12:13">
      <c r="L1260" s="69">
        <v>254932</v>
      </c>
      <c r="M1260" t="s">
        <v>1182</v>
      </c>
    </row>
    <row r="1261" spans="12:13">
      <c r="L1261" s="69">
        <v>290000</v>
      </c>
      <c r="M1261" t="s">
        <v>1183</v>
      </c>
    </row>
    <row r="1262" spans="12:13">
      <c r="L1262" s="69">
        <v>291000</v>
      </c>
      <c r="M1262" t="s">
        <v>1183</v>
      </c>
    </row>
    <row r="1263" spans="12:13">
      <c r="L1263" s="69">
        <v>291100</v>
      </c>
      <c r="M1263" t="s">
        <v>1184</v>
      </c>
    </row>
    <row r="1264" spans="12:13">
      <c r="L1264" s="69">
        <v>291110</v>
      </c>
      <c r="M1264" t="s">
        <v>1185</v>
      </c>
    </row>
    <row r="1265" spans="12:13">
      <c r="L1265" s="69">
        <v>291111</v>
      </c>
      <c r="M1265" t="s">
        <v>1185</v>
      </c>
    </row>
    <row r="1266" spans="12:13">
      <c r="L1266" s="69">
        <v>291190</v>
      </c>
      <c r="M1266" t="s">
        <v>1186</v>
      </c>
    </row>
    <row r="1267" spans="12:13">
      <c r="L1267" s="69">
        <v>291191</v>
      </c>
      <c r="M1267" t="s">
        <v>1186</v>
      </c>
    </row>
    <row r="1268" spans="12:13">
      <c r="L1268" s="69">
        <v>291200</v>
      </c>
      <c r="M1268" t="s">
        <v>1187</v>
      </c>
    </row>
    <row r="1269" spans="12:13">
      <c r="L1269" s="69">
        <v>291210</v>
      </c>
      <c r="M1269" t="s">
        <v>1188</v>
      </c>
    </row>
    <row r="1270" spans="12:13">
      <c r="L1270" s="69">
        <v>291211</v>
      </c>
      <c r="M1270" t="s">
        <v>1189</v>
      </c>
    </row>
    <row r="1271" spans="12:13">
      <c r="L1271" s="69">
        <v>291212</v>
      </c>
      <c r="M1271" t="s">
        <v>1190</v>
      </c>
    </row>
    <row r="1272" spans="12:13">
      <c r="L1272" s="69">
        <v>291213</v>
      </c>
      <c r="M1272" t="s">
        <v>1191</v>
      </c>
    </row>
    <row r="1273" spans="12:13">
      <c r="L1273" s="69">
        <v>291220</v>
      </c>
      <c r="M1273" t="s">
        <v>1192</v>
      </c>
    </row>
    <row r="1274" spans="12:13">
      <c r="L1274" s="69">
        <v>291221</v>
      </c>
      <c r="M1274" t="s">
        <v>1192</v>
      </c>
    </row>
    <row r="1275" spans="12:13">
      <c r="L1275" s="69">
        <v>291300</v>
      </c>
      <c r="M1275" t="s">
        <v>1193</v>
      </c>
    </row>
    <row r="1276" spans="12:13">
      <c r="L1276" s="69">
        <v>291310</v>
      </c>
      <c r="M1276" t="s">
        <v>1193</v>
      </c>
    </row>
    <row r="1277" spans="12:13">
      <c r="L1277" s="69">
        <v>291311</v>
      </c>
      <c r="M1277" t="s">
        <v>1194</v>
      </c>
    </row>
    <row r="1278" spans="12:13">
      <c r="L1278" s="69">
        <v>291312</v>
      </c>
      <c r="M1278" t="s">
        <v>1195</v>
      </c>
    </row>
    <row r="1279" spans="12:13">
      <c r="L1279" s="69">
        <v>291900</v>
      </c>
      <c r="M1279" t="s">
        <v>1196</v>
      </c>
    </row>
    <row r="1280" spans="12:13">
      <c r="L1280" s="69">
        <v>291910</v>
      </c>
      <c r="M1280" t="s">
        <v>1196</v>
      </c>
    </row>
    <row r="1281" spans="12:13">
      <c r="L1281" s="69">
        <v>291911</v>
      </c>
      <c r="M1281" t="s">
        <v>1197</v>
      </c>
    </row>
    <row r="1282" spans="12:13">
      <c r="L1282" s="69">
        <v>291919</v>
      </c>
      <c r="M1282" t="s">
        <v>1196</v>
      </c>
    </row>
    <row r="1283" spans="12:13">
      <c r="L1283" s="69">
        <v>300000</v>
      </c>
      <c r="M1283" t="s">
        <v>1198</v>
      </c>
    </row>
    <row r="1284" spans="12:13">
      <c r="L1284" s="69">
        <v>310000</v>
      </c>
      <c r="M1284" t="s">
        <v>1199</v>
      </c>
    </row>
    <row r="1285" spans="12:13">
      <c r="L1285" s="69">
        <v>311000</v>
      </c>
      <c r="M1285" t="s">
        <v>1199</v>
      </c>
    </row>
    <row r="1286" spans="12:13">
      <c r="L1286" s="69">
        <v>311100</v>
      </c>
      <c r="M1286" t="s">
        <v>266</v>
      </c>
    </row>
    <row r="1287" spans="12:13">
      <c r="L1287" s="70">
        <v>311110</v>
      </c>
      <c r="M1287" t="s">
        <v>1200</v>
      </c>
    </row>
    <row r="1288" spans="12:13">
      <c r="L1288" s="69">
        <v>311111</v>
      </c>
      <c r="M1288" t="s">
        <v>268</v>
      </c>
    </row>
    <row r="1289" spans="12:13">
      <c r="L1289" s="69">
        <v>311112</v>
      </c>
      <c r="M1289" t="s">
        <v>324</v>
      </c>
    </row>
    <row r="1290" spans="12:13">
      <c r="L1290" s="69">
        <v>311113</v>
      </c>
      <c r="M1290" t="s">
        <v>391</v>
      </c>
    </row>
    <row r="1291" spans="12:13">
      <c r="L1291" s="69">
        <v>311120</v>
      </c>
      <c r="M1291" t="s">
        <v>396</v>
      </c>
    </row>
    <row r="1292" spans="12:13">
      <c r="L1292" s="69">
        <v>311121</v>
      </c>
      <c r="M1292" t="s">
        <v>396</v>
      </c>
    </row>
    <row r="1293" spans="12:13">
      <c r="L1293" s="69">
        <v>311130</v>
      </c>
      <c r="M1293" t="s">
        <v>402</v>
      </c>
    </row>
    <row r="1294" spans="12:13">
      <c r="L1294" s="69">
        <v>311131</v>
      </c>
      <c r="M1294" t="s">
        <v>402</v>
      </c>
    </row>
    <row r="1295" spans="12:13">
      <c r="L1295" s="69">
        <v>311140</v>
      </c>
      <c r="M1295" t="s">
        <v>1201</v>
      </c>
    </row>
    <row r="1296" spans="12:13">
      <c r="L1296" s="69">
        <v>311141</v>
      </c>
      <c r="M1296" t="s">
        <v>1201</v>
      </c>
    </row>
    <row r="1297" spans="12:13">
      <c r="L1297" s="69">
        <v>311150</v>
      </c>
      <c r="M1297" t="s">
        <v>438</v>
      </c>
    </row>
    <row r="1298" spans="12:13">
      <c r="L1298" s="69">
        <v>311151</v>
      </c>
      <c r="M1298" t="s">
        <v>438</v>
      </c>
    </row>
    <row r="1299" spans="12:13">
      <c r="L1299" s="69">
        <v>311160</v>
      </c>
      <c r="M1299" t="s">
        <v>488</v>
      </c>
    </row>
    <row r="1300" spans="12:13">
      <c r="L1300" s="69">
        <v>311161</v>
      </c>
      <c r="M1300" t="s">
        <v>488</v>
      </c>
    </row>
    <row r="1301" spans="12:13">
      <c r="L1301" s="69">
        <v>311200</v>
      </c>
      <c r="M1301" t="s">
        <v>519</v>
      </c>
    </row>
    <row r="1302" spans="12:13">
      <c r="L1302" s="69">
        <v>311210</v>
      </c>
      <c r="M1302" t="s">
        <v>1202</v>
      </c>
    </row>
    <row r="1303" spans="12:13">
      <c r="L1303" s="69">
        <v>311211</v>
      </c>
      <c r="M1303" t="s">
        <v>1202</v>
      </c>
    </row>
    <row r="1304" spans="12:13">
      <c r="L1304" s="69">
        <v>311220</v>
      </c>
      <c r="M1304" t="s">
        <v>1203</v>
      </c>
    </row>
    <row r="1305" spans="12:13">
      <c r="L1305" s="69">
        <v>311221</v>
      </c>
      <c r="M1305" t="s">
        <v>1203</v>
      </c>
    </row>
    <row r="1306" spans="12:13">
      <c r="L1306" s="69">
        <v>311230</v>
      </c>
      <c r="M1306" t="s">
        <v>1204</v>
      </c>
    </row>
    <row r="1307" spans="12:13">
      <c r="L1307" s="69">
        <v>311231</v>
      </c>
      <c r="M1307" t="s">
        <v>1204</v>
      </c>
    </row>
    <row r="1308" spans="12:13">
      <c r="L1308" s="69">
        <v>311240</v>
      </c>
      <c r="M1308" t="s">
        <v>1205</v>
      </c>
    </row>
    <row r="1309" spans="12:13">
      <c r="L1309" s="69">
        <v>311241</v>
      </c>
      <c r="M1309" t="s">
        <v>1205</v>
      </c>
    </row>
    <row r="1310" spans="12:13">
      <c r="L1310" s="69">
        <v>311250</v>
      </c>
      <c r="M1310" t="s">
        <v>1206</v>
      </c>
    </row>
    <row r="1311" spans="12:13">
      <c r="L1311" s="69">
        <v>311251</v>
      </c>
      <c r="M1311" t="s">
        <v>1206</v>
      </c>
    </row>
    <row r="1312" spans="12:13">
      <c r="L1312" s="69">
        <v>311260</v>
      </c>
      <c r="M1312" t="s">
        <v>539</v>
      </c>
    </row>
    <row r="1313" spans="12:13">
      <c r="L1313" s="69">
        <v>311261</v>
      </c>
      <c r="M1313" t="s">
        <v>539</v>
      </c>
    </row>
    <row r="1314" spans="12:13">
      <c r="L1314" s="69">
        <v>311270</v>
      </c>
      <c r="M1314" t="s">
        <v>536</v>
      </c>
    </row>
    <row r="1315" spans="12:13">
      <c r="L1315" s="69">
        <v>311271</v>
      </c>
      <c r="M1315" t="s">
        <v>536</v>
      </c>
    </row>
    <row r="1316" spans="12:13">
      <c r="L1316" s="69">
        <v>311300</v>
      </c>
      <c r="M1316" t="s">
        <v>1207</v>
      </c>
    </row>
    <row r="1317" spans="12:13">
      <c r="L1317" s="69">
        <v>311310</v>
      </c>
      <c r="M1317" t="s">
        <v>1207</v>
      </c>
    </row>
    <row r="1318" spans="12:13">
      <c r="L1318" s="69">
        <v>311311</v>
      </c>
      <c r="M1318" t="s">
        <v>1207</v>
      </c>
    </row>
    <row r="1319" spans="12:13">
      <c r="L1319" s="69">
        <v>311400</v>
      </c>
      <c r="M1319" t="s">
        <v>559</v>
      </c>
    </row>
    <row r="1320" spans="12:13">
      <c r="L1320" s="69">
        <v>311410</v>
      </c>
      <c r="M1320" t="s">
        <v>559</v>
      </c>
    </row>
    <row r="1321" spans="12:13">
      <c r="L1321" s="69">
        <v>311411</v>
      </c>
      <c r="M1321" t="s">
        <v>561</v>
      </c>
    </row>
    <row r="1322" spans="12:13">
      <c r="L1322" s="69">
        <v>311412</v>
      </c>
      <c r="M1322" t="s">
        <v>1208</v>
      </c>
    </row>
    <row r="1323" spans="12:13">
      <c r="L1323" s="69">
        <v>311419</v>
      </c>
      <c r="M1323" t="s">
        <v>1209</v>
      </c>
    </row>
    <row r="1324" spans="12:13">
      <c r="L1324" s="69">
        <v>311500</v>
      </c>
      <c r="M1324" t="s">
        <v>1210</v>
      </c>
    </row>
    <row r="1325" spans="12:13">
      <c r="L1325" s="69">
        <v>311510</v>
      </c>
      <c r="M1325" t="s">
        <v>1210</v>
      </c>
    </row>
    <row r="1326" spans="12:13">
      <c r="L1326" s="69">
        <v>311511</v>
      </c>
      <c r="M1326" t="s">
        <v>1211</v>
      </c>
    </row>
    <row r="1327" spans="12:13">
      <c r="L1327" s="69">
        <v>311512</v>
      </c>
      <c r="M1327" t="s">
        <v>1212</v>
      </c>
    </row>
    <row r="1328" spans="12:13">
      <c r="L1328" s="69">
        <v>311513</v>
      </c>
      <c r="M1328" t="s">
        <v>1213</v>
      </c>
    </row>
    <row r="1329" spans="12:13">
      <c r="L1329" s="69">
        <v>311519</v>
      </c>
      <c r="M1329" t="s">
        <v>1214</v>
      </c>
    </row>
    <row r="1330" spans="12:13">
      <c r="L1330" s="69">
        <v>311600</v>
      </c>
      <c r="M1330" t="s">
        <v>1215</v>
      </c>
    </row>
    <row r="1331" spans="12:13">
      <c r="L1331" s="69">
        <v>311610</v>
      </c>
      <c r="M1331" t="s">
        <v>1216</v>
      </c>
    </row>
    <row r="1332" spans="12:13">
      <c r="L1332" s="69">
        <v>311611</v>
      </c>
      <c r="M1332" t="s">
        <v>1217</v>
      </c>
    </row>
    <row r="1333" spans="12:13">
      <c r="L1333" s="69">
        <v>311612</v>
      </c>
      <c r="M1333" t="s">
        <v>1218</v>
      </c>
    </row>
    <row r="1334" spans="12:13">
      <c r="L1334" s="69">
        <v>311700</v>
      </c>
      <c r="M1334" t="s">
        <v>1219</v>
      </c>
    </row>
    <row r="1335" spans="12:13">
      <c r="L1335" s="69">
        <v>311710</v>
      </c>
      <c r="M1335" t="s">
        <v>1219</v>
      </c>
    </row>
    <row r="1336" spans="12:13">
      <c r="L1336" s="69">
        <v>311711</v>
      </c>
      <c r="M1336" t="s">
        <v>1220</v>
      </c>
    </row>
    <row r="1337" spans="12:13">
      <c r="L1337" s="69">
        <v>311712</v>
      </c>
      <c r="M1337" t="s">
        <v>1221</v>
      </c>
    </row>
    <row r="1338" spans="12:13">
      <c r="L1338" s="69">
        <v>311713</v>
      </c>
      <c r="M1338" t="s">
        <v>1222</v>
      </c>
    </row>
    <row r="1339" spans="12:13">
      <c r="L1339" s="69">
        <v>311900</v>
      </c>
      <c r="M1339" t="s">
        <v>1223</v>
      </c>
    </row>
    <row r="1340" spans="12:13">
      <c r="L1340" s="69">
        <v>311910</v>
      </c>
      <c r="M1340" t="s">
        <v>1223</v>
      </c>
    </row>
    <row r="1341" spans="12:13">
      <c r="L1341" s="69">
        <v>311911</v>
      </c>
      <c r="M1341" t="s">
        <v>1223</v>
      </c>
    </row>
    <row r="1342" spans="12:13">
      <c r="L1342" s="69">
        <v>320000</v>
      </c>
      <c r="M1342" t="s">
        <v>1224</v>
      </c>
    </row>
    <row r="1343" spans="12:13">
      <c r="L1343" s="69">
        <v>321000</v>
      </c>
      <c r="M1343" t="s">
        <v>1224</v>
      </c>
    </row>
    <row r="1344" spans="12:13">
      <c r="L1344" s="69">
        <v>321100</v>
      </c>
      <c r="M1344" t="s">
        <v>1224</v>
      </c>
    </row>
    <row r="1345" spans="12:13">
      <c r="L1345" s="69">
        <v>321110</v>
      </c>
      <c r="M1345" t="s">
        <v>1225</v>
      </c>
    </row>
    <row r="1346" spans="12:13">
      <c r="L1346" s="69">
        <v>321111</v>
      </c>
      <c r="M1346" t="s">
        <v>1225</v>
      </c>
    </row>
    <row r="1347" spans="12:13">
      <c r="L1347" s="69">
        <v>321120</v>
      </c>
      <c r="M1347" t="s">
        <v>1226</v>
      </c>
    </row>
    <row r="1348" spans="12:13">
      <c r="L1348" s="69">
        <v>321121</v>
      </c>
      <c r="M1348" t="s">
        <v>1227</v>
      </c>
    </row>
    <row r="1349" spans="12:13">
      <c r="L1349" s="69">
        <v>321122</v>
      </c>
      <c r="M1349" t="s">
        <v>1228</v>
      </c>
    </row>
    <row r="1350" spans="12:13">
      <c r="L1350" s="69">
        <v>321200</v>
      </c>
      <c r="M1350" t="s">
        <v>1229</v>
      </c>
    </row>
    <row r="1351" spans="12:13">
      <c r="L1351" s="69">
        <v>321210</v>
      </c>
      <c r="M1351" t="s">
        <v>1229</v>
      </c>
    </row>
    <row r="1352" spans="12:13">
      <c r="L1352" s="69">
        <v>321211</v>
      </c>
      <c r="M1352" t="s">
        <v>1229</v>
      </c>
    </row>
    <row r="1353" spans="12:13">
      <c r="L1353" s="69">
        <v>321300</v>
      </c>
      <c r="M1353" t="s">
        <v>1230</v>
      </c>
    </row>
    <row r="1354" spans="12:13">
      <c r="L1354" s="69">
        <v>321310</v>
      </c>
      <c r="M1354" t="s">
        <v>1230</v>
      </c>
    </row>
    <row r="1355" spans="12:13">
      <c r="L1355" s="69">
        <v>321311</v>
      </c>
      <c r="M1355" t="s">
        <v>1231</v>
      </c>
    </row>
    <row r="1356" spans="12:13">
      <c r="L1356" s="69">
        <v>321312</v>
      </c>
      <c r="M1356" t="s">
        <v>1232</v>
      </c>
    </row>
    <row r="1357" spans="12:13">
      <c r="L1357" s="69">
        <v>330000</v>
      </c>
      <c r="M1357" t="s">
        <v>1233</v>
      </c>
    </row>
    <row r="1358" spans="12:13">
      <c r="L1358" s="69">
        <v>331000</v>
      </c>
      <c r="M1358" t="s">
        <v>1233</v>
      </c>
    </row>
    <row r="1359" spans="12:13">
      <c r="L1359" s="69">
        <v>331100</v>
      </c>
      <c r="M1359" t="s">
        <v>1233</v>
      </c>
    </row>
    <row r="1360" spans="12:13">
      <c r="L1360" s="69">
        <v>331110</v>
      </c>
      <c r="M1360" t="s">
        <v>275</v>
      </c>
    </row>
    <row r="1361" spans="12:13">
      <c r="L1361" s="69">
        <v>331111</v>
      </c>
      <c r="M1361" t="s">
        <v>275</v>
      </c>
    </row>
    <row r="1362" spans="12:13">
      <c r="L1362" s="69">
        <v>331120</v>
      </c>
      <c r="M1362" t="s">
        <v>1234</v>
      </c>
    </row>
    <row r="1363" spans="12:13">
      <c r="L1363" s="69">
        <v>331121</v>
      </c>
      <c r="M1363" t="s">
        <v>1234</v>
      </c>
    </row>
    <row r="1364" spans="12:13">
      <c r="L1364" s="69">
        <v>331130</v>
      </c>
      <c r="M1364" t="s">
        <v>1235</v>
      </c>
    </row>
    <row r="1365" spans="12:13">
      <c r="L1365" s="69">
        <v>331131</v>
      </c>
      <c r="M1365" t="s">
        <v>1235</v>
      </c>
    </row>
    <row r="1366" spans="12:13">
      <c r="L1366" s="69">
        <v>331140</v>
      </c>
      <c r="M1366" t="s">
        <v>1236</v>
      </c>
    </row>
    <row r="1367" spans="12:13">
      <c r="L1367" s="69">
        <v>331141</v>
      </c>
      <c r="M1367" t="s">
        <v>1236</v>
      </c>
    </row>
    <row r="1368" spans="12:13">
      <c r="L1368" s="69">
        <v>331150</v>
      </c>
      <c r="M1368" t="s">
        <v>408</v>
      </c>
    </row>
    <row r="1369" spans="12:13">
      <c r="L1369" s="69">
        <v>331151</v>
      </c>
      <c r="M1369" t="s">
        <v>408</v>
      </c>
    </row>
    <row r="1370" spans="12:13">
      <c r="L1370" s="69">
        <v>331160</v>
      </c>
      <c r="M1370" t="s">
        <v>1237</v>
      </c>
    </row>
    <row r="1371" spans="12:13">
      <c r="L1371" s="69">
        <v>331161</v>
      </c>
      <c r="M1371" t="s">
        <v>1238</v>
      </c>
    </row>
    <row r="1372" spans="12:13">
      <c r="L1372" s="69">
        <v>331170</v>
      </c>
      <c r="M1372" t="s">
        <v>1239</v>
      </c>
    </row>
    <row r="1373" spans="12:13">
      <c r="L1373" s="69">
        <v>331171</v>
      </c>
      <c r="M1373" t="s">
        <v>1239</v>
      </c>
    </row>
    <row r="1374" spans="12:13">
      <c r="L1374" s="69">
        <v>331180</v>
      </c>
      <c r="M1374" t="s">
        <v>1240</v>
      </c>
    </row>
    <row r="1375" spans="12:13">
      <c r="L1375" s="69">
        <v>331181</v>
      </c>
      <c r="M1375" t="s">
        <v>1240</v>
      </c>
    </row>
    <row r="1376" spans="12:13">
      <c r="L1376" s="69">
        <v>340000</v>
      </c>
      <c r="M1376" t="s">
        <v>1241</v>
      </c>
    </row>
    <row r="1377" spans="12:13">
      <c r="L1377" s="69">
        <v>341000</v>
      </c>
      <c r="M1377" t="s">
        <v>1241</v>
      </c>
    </row>
    <row r="1378" spans="12:13">
      <c r="L1378" s="69">
        <v>341100</v>
      </c>
      <c r="M1378" t="s">
        <v>1241</v>
      </c>
    </row>
    <row r="1379" spans="12:13">
      <c r="L1379" s="69">
        <v>341110</v>
      </c>
      <c r="M1379" t="s">
        <v>276</v>
      </c>
    </row>
    <row r="1380" spans="12:13">
      <c r="L1380" s="69">
        <v>341111</v>
      </c>
      <c r="M1380" t="s">
        <v>276</v>
      </c>
    </row>
    <row r="1381" spans="12:13">
      <c r="L1381" s="69">
        <v>341120</v>
      </c>
      <c r="M1381" t="s">
        <v>1242</v>
      </c>
    </row>
    <row r="1382" spans="12:13">
      <c r="L1382" s="69">
        <v>341121</v>
      </c>
      <c r="M1382" t="s">
        <v>1242</v>
      </c>
    </row>
    <row r="1383" spans="12:13">
      <c r="L1383" s="69">
        <v>341130</v>
      </c>
      <c r="M1383" t="s">
        <v>1243</v>
      </c>
    </row>
    <row r="1384" spans="12:13">
      <c r="L1384" s="69">
        <v>341131</v>
      </c>
      <c r="M1384" t="s">
        <v>1243</v>
      </c>
    </row>
    <row r="1385" spans="12:13">
      <c r="L1385" s="69">
        <v>341140</v>
      </c>
      <c r="M1385" t="s">
        <v>400</v>
      </c>
    </row>
    <row r="1386" spans="12:13">
      <c r="L1386" s="69">
        <v>341141</v>
      </c>
      <c r="M1386" t="s">
        <v>400</v>
      </c>
    </row>
    <row r="1387" spans="12:13">
      <c r="L1387" s="69">
        <v>341150</v>
      </c>
      <c r="M1387" t="s">
        <v>409</v>
      </c>
    </row>
    <row r="1388" spans="12:13">
      <c r="L1388" s="69">
        <v>341151</v>
      </c>
      <c r="M1388" t="s">
        <v>409</v>
      </c>
    </row>
    <row r="1389" spans="12:13">
      <c r="L1389" s="69">
        <v>341160</v>
      </c>
      <c r="M1389" t="s">
        <v>1244</v>
      </c>
    </row>
    <row r="1390" spans="12:13">
      <c r="L1390" s="69">
        <v>341161</v>
      </c>
      <c r="M1390" t="s">
        <v>1244</v>
      </c>
    </row>
    <row r="1391" spans="12:13">
      <c r="L1391" s="69">
        <v>341170</v>
      </c>
      <c r="M1391" t="s">
        <v>507</v>
      </c>
    </row>
    <row r="1392" spans="12:13">
      <c r="L1392" s="69">
        <v>341171</v>
      </c>
      <c r="M1392" t="s">
        <v>507</v>
      </c>
    </row>
    <row r="1393" spans="12:13">
      <c r="L1393" s="69">
        <v>341180</v>
      </c>
      <c r="M1393" t="s">
        <v>1245</v>
      </c>
    </row>
    <row r="1394" spans="12:13">
      <c r="L1394" s="69">
        <v>341181</v>
      </c>
      <c r="M1394" t="s">
        <v>1245</v>
      </c>
    </row>
    <row r="1395" spans="12:13">
      <c r="L1395" s="69">
        <v>350000</v>
      </c>
      <c r="M1395" t="s">
        <v>1246</v>
      </c>
    </row>
    <row r="1396" spans="12:13">
      <c r="L1396" s="69">
        <v>351000</v>
      </c>
      <c r="M1396" t="s">
        <v>1247</v>
      </c>
    </row>
    <row r="1397" spans="12:13">
      <c r="L1397" s="69">
        <v>351100</v>
      </c>
      <c r="M1397" t="s">
        <v>1247</v>
      </c>
    </row>
    <row r="1398" spans="12:13">
      <c r="L1398" s="69">
        <v>351110</v>
      </c>
      <c r="M1398" t="s">
        <v>1248</v>
      </c>
    </row>
    <row r="1399" spans="12:13">
      <c r="L1399" s="69">
        <v>351111</v>
      </c>
      <c r="M1399" t="s">
        <v>1248</v>
      </c>
    </row>
    <row r="1400" spans="12:13">
      <c r="L1400" s="69">
        <v>351120</v>
      </c>
      <c r="M1400" t="s">
        <v>1249</v>
      </c>
    </row>
    <row r="1401" spans="12:13">
      <c r="L1401" s="69">
        <v>351121</v>
      </c>
      <c r="M1401" t="s">
        <v>1250</v>
      </c>
    </row>
    <row r="1402" spans="12:13">
      <c r="L1402" s="69">
        <v>351122</v>
      </c>
      <c r="M1402" t="s">
        <v>1251</v>
      </c>
    </row>
    <row r="1403" spans="12:13">
      <c r="L1403" s="69">
        <v>351123</v>
      </c>
      <c r="M1403" t="s">
        <v>1252</v>
      </c>
    </row>
    <row r="1404" spans="12:13">
      <c r="L1404" s="69">
        <v>351130</v>
      </c>
      <c r="M1404" t="s">
        <v>1253</v>
      </c>
    </row>
    <row r="1405" spans="12:13">
      <c r="L1405" s="69">
        <v>351131</v>
      </c>
      <c r="M1405" t="s">
        <v>1253</v>
      </c>
    </row>
    <row r="1406" spans="12:13">
      <c r="L1406" s="69">
        <v>351140</v>
      </c>
      <c r="M1406" t="s">
        <v>1254</v>
      </c>
    </row>
    <row r="1407" spans="12:13">
      <c r="L1407" s="69">
        <v>351141</v>
      </c>
      <c r="M1407" t="s">
        <v>1254</v>
      </c>
    </row>
    <row r="1408" spans="12:13">
      <c r="L1408" s="69">
        <v>351150</v>
      </c>
      <c r="M1408" t="s">
        <v>1255</v>
      </c>
    </row>
    <row r="1409" spans="12:13">
      <c r="L1409" s="69">
        <v>351151</v>
      </c>
      <c r="M1409" t="s">
        <v>1255</v>
      </c>
    </row>
    <row r="1410" spans="12:13">
      <c r="L1410" s="69">
        <v>352000</v>
      </c>
      <c r="M1410" t="s">
        <v>1256</v>
      </c>
    </row>
    <row r="1411" spans="12:13">
      <c r="L1411" s="69">
        <v>352100</v>
      </c>
      <c r="M1411" t="s">
        <v>1256</v>
      </c>
    </row>
    <row r="1412" spans="12:13">
      <c r="L1412" s="69">
        <v>352110</v>
      </c>
      <c r="M1412" t="s">
        <v>1257</v>
      </c>
    </row>
    <row r="1413" spans="12:13">
      <c r="L1413" s="69">
        <v>352111</v>
      </c>
      <c r="M1413" t="s">
        <v>1257</v>
      </c>
    </row>
    <row r="1414" spans="12:13">
      <c r="L1414" s="69">
        <v>352120</v>
      </c>
      <c r="M1414" t="s">
        <v>1258</v>
      </c>
    </row>
    <row r="1415" spans="12:13">
      <c r="L1415" s="69">
        <v>352121</v>
      </c>
      <c r="M1415" t="s">
        <v>1259</v>
      </c>
    </row>
    <row r="1416" spans="12:13">
      <c r="L1416" s="69">
        <v>352122</v>
      </c>
      <c r="M1416" t="s">
        <v>1260</v>
      </c>
    </row>
    <row r="1417" spans="12:13">
      <c r="L1417" s="69">
        <v>352123</v>
      </c>
      <c r="M1417" t="s">
        <v>1261</v>
      </c>
    </row>
    <row r="1418" spans="12:13">
      <c r="L1418" s="69">
        <v>352130</v>
      </c>
      <c r="M1418" t="s">
        <v>1262</v>
      </c>
    </row>
    <row r="1419" spans="12:13">
      <c r="L1419" s="69">
        <v>352131</v>
      </c>
      <c r="M1419" t="s">
        <v>1262</v>
      </c>
    </row>
    <row r="1420" spans="12:13">
      <c r="L1420" s="69">
        <v>352140</v>
      </c>
      <c r="M1420" t="s">
        <v>1263</v>
      </c>
    </row>
    <row r="1421" spans="12:13">
      <c r="L1421" s="69">
        <v>352141</v>
      </c>
      <c r="M1421" t="s">
        <v>1263</v>
      </c>
    </row>
    <row r="1422" spans="12:13">
      <c r="L1422" s="69">
        <v>352150</v>
      </c>
      <c r="M1422" t="s">
        <v>1264</v>
      </c>
    </row>
    <row r="1423" spans="12:13">
      <c r="L1423" s="69">
        <v>352151</v>
      </c>
      <c r="M1423" t="s">
        <v>1264</v>
      </c>
    </row>
    <row r="1424" spans="12:13">
      <c r="L1424" s="69">
        <v>400000</v>
      </c>
      <c r="M1424" t="s">
        <v>1265</v>
      </c>
    </row>
    <row r="1425" spans="12:13">
      <c r="L1425" s="69">
        <v>410000</v>
      </c>
      <c r="M1425" t="s">
        <v>1266</v>
      </c>
    </row>
    <row r="1426" spans="12:13">
      <c r="L1426" s="69">
        <v>411000</v>
      </c>
      <c r="M1426" t="s">
        <v>1267</v>
      </c>
    </row>
    <row r="1427" spans="12:13">
      <c r="L1427" s="69">
        <v>411100</v>
      </c>
      <c r="M1427" t="s">
        <v>1268</v>
      </c>
    </row>
    <row r="1428" spans="12:13">
      <c r="L1428" s="69">
        <v>411110</v>
      </c>
      <c r="M1428" t="s">
        <v>1268</v>
      </c>
    </row>
    <row r="1429" spans="12:13">
      <c r="L1429" s="69">
        <v>411111</v>
      </c>
      <c r="M1429" t="s">
        <v>1269</v>
      </c>
    </row>
    <row r="1430" spans="12:13">
      <c r="L1430" s="69">
        <v>411112</v>
      </c>
      <c r="M1430" t="s">
        <v>1270</v>
      </c>
    </row>
    <row r="1431" spans="12:13">
      <c r="L1431" s="69">
        <v>411113</v>
      </c>
      <c r="M1431" t="s">
        <v>1271</v>
      </c>
    </row>
    <row r="1432" spans="12:13">
      <c r="L1432" s="69">
        <v>411114</v>
      </c>
      <c r="M1432" t="s">
        <v>1272</v>
      </c>
    </row>
    <row r="1433" spans="12:13">
      <c r="L1433" s="69">
        <v>411115</v>
      </c>
      <c r="M1433" t="s">
        <v>1273</v>
      </c>
    </row>
    <row r="1434" spans="12:13">
      <c r="L1434" s="69">
        <v>411116</v>
      </c>
      <c r="M1434" t="s">
        <v>1274</v>
      </c>
    </row>
    <row r="1435" spans="12:13">
      <c r="L1435" s="69">
        <v>411117</v>
      </c>
      <c r="M1435" t="s">
        <v>1275</v>
      </c>
    </row>
    <row r="1436" spans="12:13">
      <c r="L1436" s="69">
        <v>411118</v>
      </c>
      <c r="M1436" t="s">
        <v>1276</v>
      </c>
    </row>
    <row r="1437" spans="12:13">
      <c r="L1437" s="70">
        <v>411119</v>
      </c>
      <c r="M1437" t="s">
        <v>1277</v>
      </c>
    </row>
    <row r="1438" spans="12:13">
      <c r="L1438" s="69">
        <v>411120</v>
      </c>
      <c r="M1438" t="s">
        <v>1278</v>
      </c>
    </row>
    <row r="1439" spans="12:13">
      <c r="L1439" s="69">
        <v>411121</v>
      </c>
      <c r="M1439" t="s">
        <v>1279</v>
      </c>
    </row>
    <row r="1440" spans="12:13">
      <c r="L1440" s="69">
        <v>411122</v>
      </c>
      <c r="M1440" t="s">
        <v>1280</v>
      </c>
    </row>
    <row r="1441" spans="12:13">
      <c r="L1441" s="69">
        <v>411130</v>
      </c>
      <c r="M1441" t="s">
        <v>1281</v>
      </c>
    </row>
    <row r="1442" spans="12:13">
      <c r="L1442" s="69">
        <v>411131</v>
      </c>
      <c r="M1442" t="s">
        <v>1281</v>
      </c>
    </row>
    <row r="1443" spans="12:13">
      <c r="L1443" s="69">
        <v>411140</v>
      </c>
      <c r="M1443" t="s">
        <v>1282</v>
      </c>
    </row>
    <row r="1444" spans="12:13">
      <c r="L1444" s="69">
        <v>411141</v>
      </c>
      <c r="M1444" t="s">
        <v>1282</v>
      </c>
    </row>
    <row r="1445" spans="12:13">
      <c r="L1445" s="69">
        <v>411150</v>
      </c>
      <c r="M1445" t="s">
        <v>1283</v>
      </c>
    </row>
    <row r="1446" spans="12:13">
      <c r="L1446" s="69">
        <v>411151</v>
      </c>
      <c r="M1446" t="s">
        <v>1284</v>
      </c>
    </row>
    <row r="1447" spans="12:13">
      <c r="L1447" s="69">
        <v>411159</v>
      </c>
      <c r="M1447" t="s">
        <v>1285</v>
      </c>
    </row>
    <row r="1448" spans="12:13">
      <c r="L1448" s="69">
        <v>411190</v>
      </c>
      <c r="M1448" t="s">
        <v>1286</v>
      </c>
    </row>
    <row r="1449" spans="12:13">
      <c r="L1449" s="69">
        <v>411191</v>
      </c>
      <c r="M1449" t="s">
        <v>1286</v>
      </c>
    </row>
    <row r="1450" spans="12:13">
      <c r="L1450" s="69">
        <v>412000</v>
      </c>
      <c r="M1450" t="s">
        <v>1287</v>
      </c>
    </row>
    <row r="1451" spans="12:13">
      <c r="L1451" s="69">
        <v>412100</v>
      </c>
      <c r="M1451" t="s">
        <v>1288</v>
      </c>
    </row>
    <row r="1452" spans="12:13">
      <c r="L1452" s="69">
        <v>412110</v>
      </c>
      <c r="M1452" t="s">
        <v>1288</v>
      </c>
    </row>
    <row r="1453" spans="12:13">
      <c r="L1453" s="69">
        <v>412111</v>
      </c>
      <c r="M1453" t="s">
        <v>1288</v>
      </c>
    </row>
    <row r="1454" spans="12:13">
      <c r="L1454" s="69">
        <v>412112</v>
      </c>
      <c r="M1454" t="s">
        <v>1289</v>
      </c>
    </row>
    <row r="1455" spans="12:13">
      <c r="L1455" s="69">
        <v>412113</v>
      </c>
      <c r="M1455" t="s">
        <v>1290</v>
      </c>
    </row>
    <row r="1456" spans="12:13">
      <c r="L1456" s="69">
        <v>412200</v>
      </c>
      <c r="M1456" t="s">
        <v>1291</v>
      </c>
    </row>
    <row r="1457" spans="12:13">
      <c r="L1457" s="69">
        <v>412210</v>
      </c>
      <c r="M1457" t="s">
        <v>1291</v>
      </c>
    </row>
    <row r="1458" spans="12:13">
      <c r="L1458" s="69">
        <v>412211</v>
      </c>
      <c r="M1458" t="s">
        <v>1291</v>
      </c>
    </row>
    <row r="1459" spans="12:13">
      <c r="L1459" s="69">
        <v>412221</v>
      </c>
      <c r="M1459" t="s">
        <v>1292</v>
      </c>
    </row>
    <row r="1460" spans="12:13">
      <c r="L1460" s="69">
        <v>412300</v>
      </c>
      <c r="M1460" t="s">
        <v>1293</v>
      </c>
    </row>
    <row r="1461" spans="12:13">
      <c r="L1461" s="69">
        <v>412310</v>
      </c>
      <c r="M1461" t="s">
        <v>1293</v>
      </c>
    </row>
    <row r="1462" spans="12:13">
      <c r="L1462" s="69">
        <v>412311</v>
      </c>
      <c r="M1462" t="s">
        <v>1293</v>
      </c>
    </row>
    <row r="1463" spans="12:13">
      <c r="L1463" s="69">
        <v>413000</v>
      </c>
      <c r="M1463" t="s">
        <v>1294</v>
      </c>
    </row>
    <row r="1464" spans="12:13">
      <c r="L1464" s="69">
        <v>413100</v>
      </c>
      <c r="M1464" t="s">
        <v>1294</v>
      </c>
    </row>
    <row r="1465" spans="12:13">
      <c r="L1465" s="69">
        <v>413110</v>
      </c>
      <c r="M1465" t="s">
        <v>1294</v>
      </c>
    </row>
    <row r="1466" spans="12:13">
      <c r="L1466" s="69">
        <v>413111</v>
      </c>
      <c r="M1466" t="s">
        <v>1295</v>
      </c>
    </row>
    <row r="1467" spans="12:13">
      <c r="L1467" s="69">
        <v>413112</v>
      </c>
      <c r="M1467" t="s">
        <v>1296</v>
      </c>
    </row>
    <row r="1468" spans="12:13">
      <c r="L1468" s="69">
        <v>413119</v>
      </c>
      <c r="M1468" t="s">
        <v>1297</v>
      </c>
    </row>
    <row r="1469" spans="12:13">
      <c r="L1469" s="69">
        <v>413120</v>
      </c>
      <c r="M1469" t="s">
        <v>1298</v>
      </c>
    </row>
    <row r="1470" spans="12:13">
      <c r="L1470" s="69">
        <v>413121</v>
      </c>
      <c r="M1470" t="s">
        <v>1298</v>
      </c>
    </row>
    <row r="1471" spans="12:13">
      <c r="L1471" s="69">
        <v>413130</v>
      </c>
      <c r="M1471" t="s">
        <v>1299</v>
      </c>
    </row>
    <row r="1472" spans="12:13">
      <c r="L1472" s="69">
        <v>413131</v>
      </c>
      <c r="M1472" t="s">
        <v>1300</v>
      </c>
    </row>
    <row r="1473" spans="12:13">
      <c r="L1473" s="69">
        <v>413139</v>
      </c>
      <c r="M1473" t="s">
        <v>1301</v>
      </c>
    </row>
    <row r="1474" spans="12:13">
      <c r="L1474" s="69">
        <v>413140</v>
      </c>
      <c r="M1474" t="s">
        <v>1302</v>
      </c>
    </row>
    <row r="1475" spans="12:13">
      <c r="L1475" s="69">
        <v>413141</v>
      </c>
      <c r="M1475" t="s">
        <v>1303</v>
      </c>
    </row>
    <row r="1476" spans="12:13">
      <c r="L1476" s="69">
        <v>413142</v>
      </c>
      <c r="M1476" t="s">
        <v>1304</v>
      </c>
    </row>
    <row r="1477" spans="12:13">
      <c r="L1477" s="69">
        <v>413150</v>
      </c>
      <c r="M1477" t="s">
        <v>1305</v>
      </c>
    </row>
    <row r="1478" spans="12:13">
      <c r="L1478" s="69">
        <v>413151</v>
      </c>
      <c r="M1478" t="s">
        <v>1305</v>
      </c>
    </row>
    <row r="1479" spans="12:13">
      <c r="L1479" s="69">
        <v>413160</v>
      </c>
      <c r="M1479" t="s">
        <v>1306</v>
      </c>
    </row>
    <row r="1480" spans="12:13">
      <c r="L1480" s="69">
        <v>413161</v>
      </c>
      <c r="M1480" t="s">
        <v>1306</v>
      </c>
    </row>
    <row r="1481" spans="12:13">
      <c r="L1481" s="69">
        <v>413170</v>
      </c>
      <c r="M1481" t="s">
        <v>1307</v>
      </c>
    </row>
    <row r="1482" spans="12:13">
      <c r="L1482" s="69">
        <v>413171</v>
      </c>
      <c r="M1482" t="s">
        <v>1307</v>
      </c>
    </row>
    <row r="1483" spans="12:13">
      <c r="L1483" s="69">
        <v>413180</v>
      </c>
      <c r="M1483" t="s">
        <v>1308</v>
      </c>
    </row>
    <row r="1484" spans="12:13">
      <c r="L1484" s="69">
        <v>413181</v>
      </c>
      <c r="M1484" t="s">
        <v>1308</v>
      </c>
    </row>
    <row r="1485" spans="12:13">
      <c r="L1485" s="69">
        <v>414000</v>
      </c>
      <c r="M1485" t="s">
        <v>1309</v>
      </c>
    </row>
    <row r="1486" spans="12:13">
      <c r="L1486" s="69">
        <v>414100</v>
      </c>
      <c r="M1486" t="s">
        <v>1310</v>
      </c>
    </row>
    <row r="1487" spans="12:13">
      <c r="L1487" s="69">
        <v>414110</v>
      </c>
      <c r="M1487" t="s">
        <v>1311</v>
      </c>
    </row>
    <row r="1488" spans="12:13">
      <c r="L1488" s="69">
        <v>414111</v>
      </c>
      <c r="M1488" t="s">
        <v>1311</v>
      </c>
    </row>
    <row r="1489" spans="12:13">
      <c r="L1489" s="69">
        <v>414120</v>
      </c>
      <c r="M1489" t="s">
        <v>1312</v>
      </c>
    </row>
    <row r="1490" spans="12:13">
      <c r="L1490" s="69">
        <v>414121</v>
      </c>
      <c r="M1490" t="s">
        <v>1312</v>
      </c>
    </row>
    <row r="1491" spans="12:13">
      <c r="L1491" s="69">
        <v>414130</v>
      </c>
      <c r="M1491" t="s">
        <v>1313</v>
      </c>
    </row>
    <row r="1492" spans="12:13">
      <c r="L1492" s="69">
        <v>414131</v>
      </c>
      <c r="M1492" t="s">
        <v>1313</v>
      </c>
    </row>
    <row r="1493" spans="12:13">
      <c r="L1493" s="69">
        <v>414200</v>
      </c>
      <c r="M1493" t="s">
        <v>1314</v>
      </c>
    </row>
    <row r="1494" spans="12:13">
      <c r="L1494" s="69">
        <v>414210</v>
      </c>
      <c r="M1494" t="s">
        <v>1314</v>
      </c>
    </row>
    <row r="1495" spans="12:13">
      <c r="L1495" s="69">
        <v>414211</v>
      </c>
      <c r="M1495" t="s">
        <v>1314</v>
      </c>
    </row>
    <row r="1496" spans="12:13">
      <c r="L1496" s="69">
        <v>414300</v>
      </c>
      <c r="M1496" t="s">
        <v>1315</v>
      </c>
    </row>
    <row r="1497" spans="12:13">
      <c r="L1497" s="69">
        <v>414310</v>
      </c>
      <c r="M1497" t="s">
        <v>1315</v>
      </c>
    </row>
    <row r="1498" spans="12:13">
      <c r="L1498" s="69">
        <v>414311</v>
      </c>
      <c r="M1498" t="s">
        <v>1316</v>
      </c>
    </row>
    <row r="1499" spans="12:13">
      <c r="L1499" s="69">
        <v>414312</v>
      </c>
      <c r="M1499" t="s">
        <v>1317</v>
      </c>
    </row>
    <row r="1500" spans="12:13">
      <c r="L1500" s="69">
        <v>414314</v>
      </c>
      <c r="M1500" t="s">
        <v>1318</v>
      </c>
    </row>
    <row r="1501" spans="12:13">
      <c r="L1501" s="69">
        <v>414400</v>
      </c>
      <c r="M1501" t="s">
        <v>1319</v>
      </c>
    </row>
    <row r="1502" spans="12:13">
      <c r="L1502" s="69">
        <v>414410</v>
      </c>
      <c r="M1502" t="s">
        <v>1319</v>
      </c>
    </row>
    <row r="1503" spans="12:13">
      <c r="L1503" s="69">
        <v>414411</v>
      </c>
      <c r="M1503" t="s">
        <v>1320</v>
      </c>
    </row>
    <row r="1504" spans="12:13">
      <c r="L1504" s="69">
        <v>414412</v>
      </c>
      <c r="M1504" t="s">
        <v>1321</v>
      </c>
    </row>
    <row r="1505" spans="12:13">
      <c r="L1505" s="69">
        <v>414419</v>
      </c>
      <c r="M1505" t="s">
        <v>1322</v>
      </c>
    </row>
    <row r="1506" spans="12:13">
      <c r="L1506" s="69">
        <v>415000</v>
      </c>
      <c r="M1506" t="s">
        <v>1323</v>
      </c>
    </row>
    <row r="1507" spans="12:13">
      <c r="L1507" s="69">
        <v>415100</v>
      </c>
      <c r="M1507" t="s">
        <v>1323</v>
      </c>
    </row>
    <row r="1508" spans="12:13">
      <c r="L1508" s="69">
        <v>415110</v>
      </c>
      <c r="M1508" t="s">
        <v>1323</v>
      </c>
    </row>
    <row r="1509" spans="12:13">
      <c r="L1509" s="69">
        <v>415111</v>
      </c>
      <c r="M1509" t="s">
        <v>1324</v>
      </c>
    </row>
    <row r="1510" spans="12:13">
      <c r="L1510" s="69">
        <v>415112</v>
      </c>
      <c r="M1510" t="s">
        <v>1325</v>
      </c>
    </row>
    <row r="1511" spans="12:13">
      <c r="L1511" s="69">
        <v>415113</v>
      </c>
      <c r="M1511" t="s">
        <v>1326</v>
      </c>
    </row>
    <row r="1512" spans="12:13">
      <c r="L1512" s="69">
        <v>415114</v>
      </c>
      <c r="M1512" t="s">
        <v>1327</v>
      </c>
    </row>
    <row r="1513" spans="12:13">
      <c r="L1513" s="69">
        <v>415119</v>
      </c>
      <c r="M1513" t="s">
        <v>1328</v>
      </c>
    </row>
    <row r="1514" spans="12:13">
      <c r="L1514" s="69">
        <v>416000</v>
      </c>
      <c r="M1514" t="s">
        <v>1329</v>
      </c>
    </row>
    <row r="1515" spans="12:13">
      <c r="L1515" s="69">
        <v>416100</v>
      </c>
      <c r="M1515" t="s">
        <v>1329</v>
      </c>
    </row>
    <row r="1516" spans="12:13">
      <c r="L1516" s="69">
        <v>416110</v>
      </c>
      <c r="M1516" t="s">
        <v>1330</v>
      </c>
    </row>
    <row r="1517" spans="12:13">
      <c r="L1517" s="69">
        <v>416111</v>
      </c>
      <c r="M1517" t="s">
        <v>1331</v>
      </c>
    </row>
    <row r="1518" spans="12:13">
      <c r="L1518" s="69">
        <v>416112</v>
      </c>
      <c r="M1518" t="s">
        <v>1332</v>
      </c>
    </row>
    <row r="1519" spans="12:13">
      <c r="L1519" s="69">
        <v>416119</v>
      </c>
      <c r="M1519" t="s">
        <v>1333</v>
      </c>
    </row>
    <row r="1520" spans="12:13">
      <c r="L1520" s="69">
        <v>416120</v>
      </c>
      <c r="M1520" t="s">
        <v>1334</v>
      </c>
    </row>
    <row r="1521" spans="12:13">
      <c r="L1521" s="69">
        <v>416121</v>
      </c>
      <c r="M1521" t="s">
        <v>1335</v>
      </c>
    </row>
    <row r="1522" spans="12:13">
      <c r="L1522" s="69">
        <v>416130</v>
      </c>
      <c r="M1522" t="s">
        <v>1336</v>
      </c>
    </row>
    <row r="1523" spans="12:13">
      <c r="L1523" s="69">
        <v>416131</v>
      </c>
      <c r="M1523" t="s">
        <v>1337</v>
      </c>
    </row>
    <row r="1524" spans="12:13">
      <c r="L1524" s="69">
        <v>416132</v>
      </c>
      <c r="M1524" t="s">
        <v>1338</v>
      </c>
    </row>
    <row r="1525" spans="12:13">
      <c r="L1525" s="69">
        <v>417000</v>
      </c>
      <c r="M1525" t="s">
        <v>1339</v>
      </c>
    </row>
    <row r="1526" spans="12:13">
      <c r="L1526" s="69">
        <v>417100</v>
      </c>
      <c r="M1526" t="s">
        <v>1339</v>
      </c>
    </row>
    <row r="1527" spans="12:13">
      <c r="L1527" s="69">
        <v>417110</v>
      </c>
      <c r="M1527" t="s">
        <v>1339</v>
      </c>
    </row>
    <row r="1528" spans="12:13">
      <c r="L1528" s="69">
        <v>417111</v>
      </c>
      <c r="M1528" t="s">
        <v>1339</v>
      </c>
    </row>
    <row r="1529" spans="12:13">
      <c r="L1529" s="69">
        <v>418000</v>
      </c>
      <c r="M1529" t="s">
        <v>1340</v>
      </c>
    </row>
    <row r="1530" spans="12:13">
      <c r="L1530" s="69">
        <v>418100</v>
      </c>
      <c r="M1530" t="s">
        <v>1340</v>
      </c>
    </row>
    <row r="1531" spans="12:13">
      <c r="L1531" s="69">
        <v>418110</v>
      </c>
      <c r="M1531" t="s">
        <v>1340</v>
      </c>
    </row>
    <row r="1532" spans="12:13">
      <c r="L1532" s="69">
        <v>418111</v>
      </c>
      <c r="M1532" t="s">
        <v>1340</v>
      </c>
    </row>
    <row r="1533" spans="12:13">
      <c r="L1533" s="69">
        <v>420000</v>
      </c>
      <c r="M1533" t="s">
        <v>1341</v>
      </c>
    </row>
    <row r="1534" spans="12:13">
      <c r="L1534" s="69">
        <v>421000</v>
      </c>
      <c r="M1534" t="s">
        <v>1342</v>
      </c>
    </row>
    <row r="1535" spans="12:13">
      <c r="L1535" s="69">
        <v>421100</v>
      </c>
      <c r="M1535" t="s">
        <v>1343</v>
      </c>
    </row>
    <row r="1536" spans="12:13">
      <c r="L1536" s="69">
        <v>421110</v>
      </c>
      <c r="M1536" t="s">
        <v>1344</v>
      </c>
    </row>
    <row r="1537" spans="12:13">
      <c r="L1537" s="69">
        <v>421111</v>
      </c>
      <c r="M1537" t="s">
        <v>1344</v>
      </c>
    </row>
    <row r="1538" spans="12:13">
      <c r="L1538" s="69">
        <v>421120</v>
      </c>
      <c r="M1538" t="s">
        <v>1345</v>
      </c>
    </row>
    <row r="1539" spans="12:13">
      <c r="L1539" s="69">
        <v>421121</v>
      </c>
      <c r="M1539" t="s">
        <v>1345</v>
      </c>
    </row>
    <row r="1540" spans="12:13">
      <c r="L1540" s="69">
        <v>421200</v>
      </c>
      <c r="M1540" t="s">
        <v>1346</v>
      </c>
    </row>
    <row r="1541" spans="12:13">
      <c r="L1541" s="69">
        <v>421210</v>
      </c>
      <c r="M1541" t="s">
        <v>1347</v>
      </c>
    </row>
    <row r="1542" spans="12:13">
      <c r="L1542" s="69">
        <v>421211</v>
      </c>
      <c r="M1542" t="s">
        <v>1347</v>
      </c>
    </row>
    <row r="1543" spans="12:13">
      <c r="L1543" s="69">
        <v>421220</v>
      </c>
      <c r="M1543" t="s">
        <v>1348</v>
      </c>
    </row>
    <row r="1544" spans="12:13">
      <c r="L1544" s="69">
        <v>421221</v>
      </c>
      <c r="M1544" t="s">
        <v>1349</v>
      </c>
    </row>
    <row r="1545" spans="12:13">
      <c r="L1545" s="69">
        <v>421222</v>
      </c>
      <c r="M1545" t="s">
        <v>1350</v>
      </c>
    </row>
    <row r="1546" spans="12:13">
      <c r="L1546" s="69">
        <v>421223</v>
      </c>
      <c r="M1546" t="s">
        <v>1351</v>
      </c>
    </row>
    <row r="1547" spans="12:13">
      <c r="L1547" s="69">
        <v>421224</v>
      </c>
      <c r="M1547" t="s">
        <v>1352</v>
      </c>
    </row>
    <row r="1548" spans="12:13">
      <c r="L1548" s="69">
        <v>421225</v>
      </c>
      <c r="M1548" t="s">
        <v>1353</v>
      </c>
    </row>
    <row r="1549" spans="12:13">
      <c r="L1549" s="69">
        <v>421300</v>
      </c>
      <c r="M1549" t="s">
        <v>1354</v>
      </c>
    </row>
    <row r="1550" spans="12:13">
      <c r="L1550" s="69">
        <v>421310</v>
      </c>
      <c r="M1550" t="s">
        <v>1355</v>
      </c>
    </row>
    <row r="1551" spans="12:13">
      <c r="L1551" s="69">
        <v>421311</v>
      </c>
      <c r="M1551" t="s">
        <v>1355</v>
      </c>
    </row>
    <row r="1552" spans="12:13">
      <c r="L1552" s="69">
        <v>421320</v>
      </c>
      <c r="M1552" t="s">
        <v>1356</v>
      </c>
    </row>
    <row r="1553" spans="12:13">
      <c r="L1553" s="69">
        <v>421321</v>
      </c>
      <c r="M1553" t="s">
        <v>1357</v>
      </c>
    </row>
    <row r="1554" spans="12:13">
      <c r="L1554" s="69">
        <v>421322</v>
      </c>
      <c r="M1554" t="s">
        <v>1358</v>
      </c>
    </row>
    <row r="1555" spans="12:13">
      <c r="L1555" s="69">
        <v>421323</v>
      </c>
      <c r="M1555" t="s">
        <v>1359</v>
      </c>
    </row>
    <row r="1556" spans="12:13">
      <c r="L1556" s="69">
        <v>421324</v>
      </c>
      <c r="M1556" t="s">
        <v>1360</v>
      </c>
    </row>
    <row r="1557" spans="12:13">
      <c r="L1557" s="69">
        <v>421325</v>
      </c>
      <c r="M1557" t="s">
        <v>1361</v>
      </c>
    </row>
    <row r="1558" spans="12:13">
      <c r="L1558" s="69">
        <v>421390</v>
      </c>
      <c r="M1558" t="s">
        <v>1362</v>
      </c>
    </row>
    <row r="1559" spans="12:13">
      <c r="L1559" s="69">
        <v>421391</v>
      </c>
      <c r="M1559" t="s">
        <v>1363</v>
      </c>
    </row>
    <row r="1560" spans="12:13">
      <c r="L1560" s="69">
        <v>421392</v>
      </c>
      <c r="M1560" t="s">
        <v>1364</v>
      </c>
    </row>
    <row r="1561" spans="12:13">
      <c r="L1561" s="69">
        <v>421400</v>
      </c>
      <c r="M1561" t="s">
        <v>1365</v>
      </c>
    </row>
    <row r="1562" spans="12:13">
      <c r="L1562" s="69">
        <v>421410</v>
      </c>
      <c r="M1562" t="s">
        <v>1366</v>
      </c>
    </row>
    <row r="1563" spans="12:13">
      <c r="L1563" s="69">
        <v>421411</v>
      </c>
      <c r="M1563" t="s">
        <v>1367</v>
      </c>
    </row>
    <row r="1564" spans="12:13">
      <c r="L1564" s="69">
        <v>421412</v>
      </c>
      <c r="M1564" t="s">
        <v>1368</v>
      </c>
    </row>
    <row r="1565" spans="12:13">
      <c r="L1565" s="69">
        <v>421413</v>
      </c>
      <c r="M1565" t="s">
        <v>1369</v>
      </c>
    </row>
    <row r="1566" spans="12:13">
      <c r="L1566" s="69">
        <v>421414</v>
      </c>
      <c r="M1566" t="s">
        <v>1370</v>
      </c>
    </row>
    <row r="1567" spans="12:13">
      <c r="L1567" s="69">
        <v>421419</v>
      </c>
      <c r="M1567" t="s">
        <v>1371</v>
      </c>
    </row>
    <row r="1568" spans="12:13">
      <c r="L1568" s="69">
        <v>421420</v>
      </c>
      <c r="M1568" t="s">
        <v>1372</v>
      </c>
    </row>
    <row r="1569" spans="12:13">
      <c r="L1569" s="69">
        <v>421421</v>
      </c>
      <c r="M1569" t="s">
        <v>1373</v>
      </c>
    </row>
    <row r="1570" spans="12:13">
      <c r="L1570" s="69">
        <v>421422</v>
      </c>
      <c r="M1570" t="s">
        <v>1374</v>
      </c>
    </row>
    <row r="1571" spans="12:13">
      <c r="L1571" s="69">
        <v>421429</v>
      </c>
      <c r="M1571" t="s">
        <v>1375</v>
      </c>
    </row>
    <row r="1572" spans="12:13">
      <c r="L1572" s="69">
        <v>421500</v>
      </c>
      <c r="M1572" t="s">
        <v>1376</v>
      </c>
    </row>
    <row r="1573" spans="12:13">
      <c r="L1573" s="69">
        <v>421510</v>
      </c>
      <c r="M1573" t="s">
        <v>1377</v>
      </c>
    </row>
    <row r="1574" spans="12:13">
      <c r="L1574" s="69">
        <v>421511</v>
      </c>
      <c r="M1574" t="s">
        <v>1378</v>
      </c>
    </row>
    <row r="1575" spans="12:13">
      <c r="L1575" s="69">
        <v>421512</v>
      </c>
      <c r="M1575" t="s">
        <v>1379</v>
      </c>
    </row>
    <row r="1576" spans="12:13">
      <c r="L1576" s="69">
        <v>421513</v>
      </c>
      <c r="M1576" t="s">
        <v>1380</v>
      </c>
    </row>
    <row r="1577" spans="12:13">
      <c r="L1577" s="69">
        <v>421519</v>
      </c>
      <c r="M1577" t="s">
        <v>1381</v>
      </c>
    </row>
    <row r="1578" spans="12:13">
      <c r="L1578" s="69">
        <v>421520</v>
      </c>
      <c r="M1578" t="s">
        <v>1382</v>
      </c>
    </row>
    <row r="1579" spans="12:13">
      <c r="L1579" s="69">
        <v>421521</v>
      </c>
      <c r="M1579" t="s">
        <v>1383</v>
      </c>
    </row>
    <row r="1580" spans="12:13">
      <c r="L1580" s="69">
        <v>421522</v>
      </c>
      <c r="M1580" t="s">
        <v>1384</v>
      </c>
    </row>
    <row r="1581" spans="12:13">
      <c r="L1581" s="69">
        <v>421523</v>
      </c>
      <c r="M1581" t="s">
        <v>1385</v>
      </c>
    </row>
    <row r="1582" spans="12:13">
      <c r="L1582" s="69">
        <v>421600</v>
      </c>
      <c r="M1582" t="s">
        <v>1386</v>
      </c>
    </row>
    <row r="1583" spans="12:13">
      <c r="L1583" s="69">
        <v>421610</v>
      </c>
      <c r="M1583" t="s">
        <v>1387</v>
      </c>
    </row>
    <row r="1584" spans="12:13">
      <c r="L1584" s="69">
        <v>421611</v>
      </c>
      <c r="M1584" t="s">
        <v>1388</v>
      </c>
    </row>
    <row r="1585" spans="12:13">
      <c r="L1585" s="69">
        <v>421612</v>
      </c>
      <c r="M1585" t="s">
        <v>1389</v>
      </c>
    </row>
    <row r="1586" spans="12:13">
      <c r="L1586" s="69">
        <v>421619</v>
      </c>
      <c r="M1586" t="s">
        <v>1390</v>
      </c>
    </row>
    <row r="1587" spans="12:13">
      <c r="L1587" s="69">
        <v>421620</v>
      </c>
      <c r="M1587" t="s">
        <v>1391</v>
      </c>
    </row>
    <row r="1588" spans="12:13">
      <c r="L1588" s="69">
        <v>421621</v>
      </c>
      <c r="M1588" t="s">
        <v>1392</v>
      </c>
    </row>
    <row r="1589" spans="12:13">
      <c r="L1589" s="69">
        <v>421622</v>
      </c>
      <c r="M1589" t="s">
        <v>1393</v>
      </c>
    </row>
    <row r="1590" spans="12:13">
      <c r="L1590" s="69">
        <v>421623</v>
      </c>
      <c r="M1590" t="s">
        <v>1394</v>
      </c>
    </row>
    <row r="1591" spans="12:13">
      <c r="L1591" s="69">
        <v>421624</v>
      </c>
      <c r="M1591" t="s">
        <v>1395</v>
      </c>
    </row>
    <row r="1592" spans="12:13">
      <c r="L1592" s="69">
        <v>421625</v>
      </c>
      <c r="M1592" t="s">
        <v>1396</v>
      </c>
    </row>
    <row r="1593" spans="12:13">
      <c r="L1593" s="69">
        <v>421626</v>
      </c>
      <c r="M1593" t="s">
        <v>1397</v>
      </c>
    </row>
    <row r="1594" spans="12:13">
      <c r="L1594" s="69">
        <v>421627</v>
      </c>
      <c r="M1594" t="s">
        <v>1398</v>
      </c>
    </row>
    <row r="1595" spans="12:13">
      <c r="L1595" s="69">
        <v>421628</v>
      </c>
      <c r="M1595" t="s">
        <v>1399</v>
      </c>
    </row>
    <row r="1596" spans="12:13">
      <c r="L1596" s="69">
        <v>421629</v>
      </c>
      <c r="M1596" t="s">
        <v>1400</v>
      </c>
    </row>
    <row r="1597" spans="12:13">
      <c r="L1597" s="69">
        <v>421900</v>
      </c>
      <c r="M1597" t="s">
        <v>1401</v>
      </c>
    </row>
    <row r="1598" spans="12:13">
      <c r="L1598" s="69">
        <v>421910</v>
      </c>
      <c r="M1598" t="s">
        <v>1401</v>
      </c>
    </row>
    <row r="1599" spans="12:13">
      <c r="L1599" s="69">
        <v>421911</v>
      </c>
      <c r="M1599" t="s">
        <v>1402</v>
      </c>
    </row>
    <row r="1600" spans="12:13">
      <c r="L1600" s="69">
        <v>421919</v>
      </c>
      <c r="M1600" t="s">
        <v>1403</v>
      </c>
    </row>
    <row r="1601" spans="12:13">
      <c r="L1601" s="69">
        <v>422000</v>
      </c>
      <c r="M1601" t="s">
        <v>1404</v>
      </c>
    </row>
    <row r="1602" spans="12:13">
      <c r="L1602" s="69">
        <v>422100</v>
      </c>
      <c r="M1602" t="s">
        <v>1405</v>
      </c>
    </row>
    <row r="1603" spans="12:13">
      <c r="L1603" s="69">
        <v>422110</v>
      </c>
      <c r="M1603" t="s">
        <v>1406</v>
      </c>
    </row>
    <row r="1604" spans="12:13">
      <c r="L1604" s="69">
        <v>422111</v>
      </c>
      <c r="M1604" t="s">
        <v>1406</v>
      </c>
    </row>
    <row r="1605" spans="12:13">
      <c r="L1605" s="69">
        <v>422120</v>
      </c>
      <c r="M1605" t="s">
        <v>1407</v>
      </c>
    </row>
    <row r="1606" spans="12:13">
      <c r="L1606" s="69">
        <v>422121</v>
      </c>
      <c r="M1606" t="s">
        <v>1407</v>
      </c>
    </row>
    <row r="1607" spans="12:13">
      <c r="L1607" s="69">
        <v>422130</v>
      </c>
      <c r="M1607" t="s">
        <v>1408</v>
      </c>
    </row>
    <row r="1608" spans="12:13">
      <c r="L1608" s="69">
        <v>422131</v>
      </c>
      <c r="M1608" t="s">
        <v>1408</v>
      </c>
    </row>
    <row r="1609" spans="12:13">
      <c r="L1609" s="69">
        <v>422190</v>
      </c>
      <c r="M1609" t="s">
        <v>1409</v>
      </c>
    </row>
    <row r="1610" spans="12:13">
      <c r="L1610" s="69">
        <v>422191</v>
      </c>
      <c r="M1610" t="s">
        <v>1410</v>
      </c>
    </row>
    <row r="1611" spans="12:13">
      <c r="L1611" s="69">
        <v>422192</v>
      </c>
      <c r="M1611" t="s">
        <v>1411</v>
      </c>
    </row>
    <row r="1612" spans="12:13">
      <c r="L1612" s="69">
        <v>422193</v>
      </c>
      <c r="M1612" t="s">
        <v>1412</v>
      </c>
    </row>
    <row r="1613" spans="12:13">
      <c r="L1613" s="69">
        <v>422194</v>
      </c>
      <c r="M1613" t="s">
        <v>1413</v>
      </c>
    </row>
    <row r="1614" spans="12:13">
      <c r="L1614" s="69">
        <v>422199</v>
      </c>
      <c r="M1614" t="s">
        <v>1414</v>
      </c>
    </row>
    <row r="1615" spans="12:13">
      <c r="L1615" s="69">
        <v>422200</v>
      </c>
      <c r="M1615" t="s">
        <v>1415</v>
      </c>
    </row>
    <row r="1616" spans="12:13">
      <c r="L1616" s="69">
        <v>422210</v>
      </c>
      <c r="M1616" t="s">
        <v>1416</v>
      </c>
    </row>
    <row r="1617" spans="12:13">
      <c r="L1617" s="69">
        <v>422211</v>
      </c>
      <c r="M1617" t="s">
        <v>1416</v>
      </c>
    </row>
    <row r="1618" spans="12:13">
      <c r="L1618" s="69">
        <v>422220</v>
      </c>
      <c r="M1618" t="s">
        <v>1417</v>
      </c>
    </row>
    <row r="1619" spans="12:13">
      <c r="L1619" s="69">
        <v>422221</v>
      </c>
      <c r="M1619" t="s">
        <v>1417</v>
      </c>
    </row>
    <row r="1620" spans="12:13">
      <c r="L1620" s="69">
        <v>422230</v>
      </c>
      <c r="M1620" t="s">
        <v>1418</v>
      </c>
    </row>
    <row r="1621" spans="12:13">
      <c r="L1621" s="69">
        <v>422231</v>
      </c>
      <c r="M1621" t="s">
        <v>1418</v>
      </c>
    </row>
    <row r="1622" spans="12:13">
      <c r="L1622" s="69">
        <v>422290</v>
      </c>
      <c r="M1622" t="s">
        <v>1409</v>
      </c>
    </row>
    <row r="1623" spans="12:13">
      <c r="L1623" s="69">
        <v>422291</v>
      </c>
      <c r="M1623" t="s">
        <v>1419</v>
      </c>
    </row>
    <row r="1624" spans="12:13">
      <c r="L1624" s="69">
        <v>422292</v>
      </c>
      <c r="M1624" t="s">
        <v>1411</v>
      </c>
    </row>
    <row r="1625" spans="12:13">
      <c r="L1625" s="69">
        <v>422293</v>
      </c>
      <c r="M1625" t="s">
        <v>1413</v>
      </c>
    </row>
    <row r="1626" spans="12:13">
      <c r="L1626" s="69">
        <v>422299</v>
      </c>
      <c r="M1626" t="s">
        <v>1420</v>
      </c>
    </row>
    <row r="1627" spans="12:13">
      <c r="L1627" s="69">
        <v>422300</v>
      </c>
      <c r="M1627" t="s">
        <v>1421</v>
      </c>
    </row>
    <row r="1628" spans="12:13">
      <c r="L1628" s="69">
        <v>422310</v>
      </c>
      <c r="M1628" t="s">
        <v>1422</v>
      </c>
    </row>
    <row r="1629" spans="12:13">
      <c r="L1629" s="69">
        <v>422311</v>
      </c>
      <c r="M1629" t="s">
        <v>1422</v>
      </c>
    </row>
    <row r="1630" spans="12:13">
      <c r="L1630" s="69">
        <v>422320</v>
      </c>
      <c r="M1630" t="s">
        <v>1423</v>
      </c>
    </row>
    <row r="1631" spans="12:13">
      <c r="L1631" s="69">
        <v>422321</v>
      </c>
      <c r="M1631" t="s">
        <v>1423</v>
      </c>
    </row>
    <row r="1632" spans="12:13">
      <c r="L1632" s="69">
        <v>422330</v>
      </c>
      <c r="M1632" t="s">
        <v>1424</v>
      </c>
    </row>
    <row r="1633" spans="12:13">
      <c r="L1633" s="69">
        <v>422331</v>
      </c>
      <c r="M1633" t="s">
        <v>1424</v>
      </c>
    </row>
    <row r="1634" spans="12:13">
      <c r="L1634" s="69">
        <v>422390</v>
      </c>
      <c r="M1634" t="s">
        <v>1425</v>
      </c>
    </row>
    <row r="1635" spans="12:13">
      <c r="L1635" s="69">
        <v>422391</v>
      </c>
      <c r="M1635" t="s">
        <v>1426</v>
      </c>
    </row>
    <row r="1636" spans="12:13">
      <c r="L1636" s="69">
        <v>422392</v>
      </c>
      <c r="M1636" t="s">
        <v>1411</v>
      </c>
    </row>
    <row r="1637" spans="12:13">
      <c r="L1637" s="69">
        <v>422393</v>
      </c>
      <c r="M1637" t="s">
        <v>1427</v>
      </c>
    </row>
    <row r="1638" spans="12:13">
      <c r="L1638" s="69">
        <v>422394</v>
      </c>
      <c r="M1638" t="s">
        <v>1428</v>
      </c>
    </row>
    <row r="1639" spans="12:13">
      <c r="L1639" s="69">
        <v>422399</v>
      </c>
      <c r="M1639" t="s">
        <v>1429</v>
      </c>
    </row>
    <row r="1640" spans="12:13">
      <c r="L1640" s="69">
        <v>422400</v>
      </c>
      <c r="M1640" t="s">
        <v>1430</v>
      </c>
    </row>
    <row r="1641" spans="12:13">
      <c r="L1641" s="69">
        <v>422410</v>
      </c>
      <c r="M1641" t="s">
        <v>1430</v>
      </c>
    </row>
    <row r="1642" spans="12:13">
      <c r="L1642" s="69">
        <v>422411</v>
      </c>
      <c r="M1642" t="s">
        <v>1431</v>
      </c>
    </row>
    <row r="1643" spans="12:13">
      <c r="L1643" s="69">
        <v>422412</v>
      </c>
      <c r="M1643" t="s">
        <v>1432</v>
      </c>
    </row>
    <row r="1644" spans="12:13">
      <c r="L1644" s="69">
        <v>422900</v>
      </c>
      <c r="M1644" t="s">
        <v>1433</v>
      </c>
    </row>
    <row r="1645" spans="12:13">
      <c r="L1645" s="69">
        <v>422910</v>
      </c>
      <c r="M1645" t="s">
        <v>1433</v>
      </c>
    </row>
    <row r="1646" spans="12:13">
      <c r="L1646" s="69">
        <v>422911</v>
      </c>
      <c r="M1646" t="s">
        <v>1434</v>
      </c>
    </row>
    <row r="1647" spans="12:13">
      <c r="L1647" s="69">
        <v>423000</v>
      </c>
      <c r="M1647" t="s">
        <v>1435</v>
      </c>
    </row>
    <row r="1648" spans="12:13">
      <c r="L1648" s="69">
        <v>423100</v>
      </c>
      <c r="M1648" t="s">
        <v>1436</v>
      </c>
    </row>
    <row r="1649" spans="12:13">
      <c r="L1649" s="69">
        <v>423110</v>
      </c>
      <c r="M1649" t="s">
        <v>1437</v>
      </c>
    </row>
    <row r="1650" spans="12:13">
      <c r="L1650" s="69">
        <v>423111</v>
      </c>
      <c r="M1650" t="s">
        <v>1437</v>
      </c>
    </row>
    <row r="1651" spans="12:13">
      <c r="L1651" s="69">
        <v>423120</v>
      </c>
      <c r="M1651" t="s">
        <v>1438</v>
      </c>
    </row>
    <row r="1652" spans="12:13">
      <c r="L1652" s="69">
        <v>423121</v>
      </c>
      <c r="M1652" t="s">
        <v>1438</v>
      </c>
    </row>
    <row r="1653" spans="12:13">
      <c r="L1653" s="69">
        <v>423130</v>
      </c>
      <c r="M1653" t="s">
        <v>1439</v>
      </c>
    </row>
    <row r="1654" spans="12:13">
      <c r="L1654" s="69">
        <v>423131</v>
      </c>
      <c r="M1654" t="s">
        <v>1439</v>
      </c>
    </row>
    <row r="1655" spans="12:13">
      <c r="L1655" s="69">
        <v>423190</v>
      </c>
      <c r="M1655" t="s">
        <v>1440</v>
      </c>
    </row>
    <row r="1656" spans="12:13">
      <c r="L1656" s="69">
        <v>423191</v>
      </c>
      <c r="M1656" t="s">
        <v>1440</v>
      </c>
    </row>
    <row r="1657" spans="12:13">
      <c r="L1657" s="69">
        <v>423200</v>
      </c>
      <c r="M1657" t="s">
        <v>1441</v>
      </c>
    </row>
    <row r="1658" spans="12:13">
      <c r="L1658" s="69">
        <v>423210</v>
      </c>
      <c r="M1658" t="s">
        <v>1442</v>
      </c>
    </row>
    <row r="1659" spans="12:13">
      <c r="L1659" s="69">
        <v>423211</v>
      </c>
      <c r="M1659" t="s">
        <v>1443</v>
      </c>
    </row>
    <row r="1660" spans="12:13">
      <c r="L1660" s="69">
        <v>423212</v>
      </c>
      <c r="M1660" t="s">
        <v>1444</v>
      </c>
    </row>
    <row r="1661" spans="12:13">
      <c r="L1661" s="69">
        <v>423220</v>
      </c>
      <c r="M1661" t="s">
        <v>1445</v>
      </c>
    </row>
    <row r="1662" spans="12:13">
      <c r="L1662" s="69">
        <v>423221</v>
      </c>
      <c r="M1662" t="s">
        <v>1445</v>
      </c>
    </row>
    <row r="1663" spans="12:13">
      <c r="L1663" s="69">
        <v>423290</v>
      </c>
      <c r="M1663" t="s">
        <v>1446</v>
      </c>
    </row>
    <row r="1664" spans="12:13">
      <c r="L1664" s="69">
        <v>423291</v>
      </c>
      <c r="M1664" t="s">
        <v>1446</v>
      </c>
    </row>
    <row r="1665" spans="12:13">
      <c r="L1665" s="69">
        <v>423300</v>
      </c>
      <c r="M1665" t="s">
        <v>1447</v>
      </c>
    </row>
    <row r="1666" spans="12:13">
      <c r="L1666" s="69">
        <v>423310</v>
      </c>
      <c r="M1666" t="s">
        <v>1447</v>
      </c>
    </row>
    <row r="1667" spans="12:13">
      <c r="L1667" s="69">
        <v>423311</v>
      </c>
      <c r="M1667" t="s">
        <v>1447</v>
      </c>
    </row>
    <row r="1668" spans="12:13">
      <c r="L1668" s="69">
        <v>423320</v>
      </c>
      <c r="M1668" t="s">
        <v>1448</v>
      </c>
    </row>
    <row r="1669" spans="12:13">
      <c r="L1669" s="69">
        <v>423321</v>
      </c>
      <c r="M1669" t="s">
        <v>1449</v>
      </c>
    </row>
    <row r="1670" spans="12:13">
      <c r="L1670" s="69">
        <v>423322</v>
      </c>
      <c r="M1670" t="s">
        <v>1450</v>
      </c>
    </row>
    <row r="1671" spans="12:13">
      <c r="L1671" s="69">
        <v>423323</v>
      </c>
      <c r="M1671" t="s">
        <v>1451</v>
      </c>
    </row>
    <row r="1672" spans="12:13">
      <c r="L1672" s="69">
        <v>423390</v>
      </c>
      <c r="M1672" t="s">
        <v>1452</v>
      </c>
    </row>
    <row r="1673" spans="12:13">
      <c r="L1673" s="69">
        <v>423391</v>
      </c>
      <c r="M1673" t="s">
        <v>1453</v>
      </c>
    </row>
    <row r="1674" spans="12:13">
      <c r="L1674" s="69">
        <v>423399</v>
      </c>
      <c r="M1674" t="s">
        <v>1454</v>
      </c>
    </row>
    <row r="1675" spans="12:13">
      <c r="L1675" s="69">
        <v>423400</v>
      </c>
      <c r="M1675" t="s">
        <v>1455</v>
      </c>
    </row>
    <row r="1676" spans="12:13">
      <c r="L1676" s="69">
        <v>423410</v>
      </c>
      <c r="M1676" t="s">
        <v>1456</v>
      </c>
    </row>
    <row r="1677" spans="12:13">
      <c r="L1677" s="69">
        <v>423411</v>
      </c>
      <c r="M1677" t="s">
        <v>1457</v>
      </c>
    </row>
    <row r="1678" spans="12:13">
      <c r="L1678" s="69">
        <v>423412</v>
      </c>
      <c r="M1678" t="s">
        <v>1458</v>
      </c>
    </row>
    <row r="1679" spans="12:13">
      <c r="L1679" s="69">
        <v>423413</v>
      </c>
      <c r="M1679" t="s">
        <v>1459</v>
      </c>
    </row>
    <row r="1680" spans="12:13">
      <c r="L1680" s="69">
        <v>423419</v>
      </c>
      <c r="M1680" t="s">
        <v>1460</v>
      </c>
    </row>
    <row r="1681" spans="12:13">
      <c r="L1681" s="69">
        <v>423420</v>
      </c>
      <c r="M1681" t="s">
        <v>1461</v>
      </c>
    </row>
    <row r="1682" spans="12:13">
      <c r="L1682" s="69">
        <v>423421</v>
      </c>
      <c r="M1682" t="s">
        <v>1462</v>
      </c>
    </row>
    <row r="1683" spans="12:13">
      <c r="L1683" s="69">
        <v>423422</v>
      </c>
      <c r="M1683" t="s">
        <v>1463</v>
      </c>
    </row>
    <row r="1684" spans="12:13">
      <c r="L1684" s="69">
        <v>423430</v>
      </c>
      <c r="M1684" t="s">
        <v>1464</v>
      </c>
    </row>
    <row r="1685" spans="12:13">
      <c r="L1685" s="69">
        <v>423431</v>
      </c>
      <c r="M1685" t="s">
        <v>1464</v>
      </c>
    </row>
    <row r="1686" spans="12:13">
      <c r="L1686" s="69">
        <v>423432</v>
      </c>
      <c r="M1686" t="s">
        <v>1465</v>
      </c>
    </row>
    <row r="1687" spans="12:13">
      <c r="L1687" s="69">
        <v>423439</v>
      </c>
      <c r="M1687" t="s">
        <v>1466</v>
      </c>
    </row>
    <row r="1688" spans="12:13">
      <c r="L1688" s="69">
        <v>423440</v>
      </c>
      <c r="M1688" t="s">
        <v>1467</v>
      </c>
    </row>
    <row r="1689" spans="12:13">
      <c r="L1689" s="69">
        <v>423441</v>
      </c>
      <c r="M1689" t="s">
        <v>1468</v>
      </c>
    </row>
    <row r="1690" spans="12:13">
      <c r="L1690" s="69">
        <v>423449</v>
      </c>
      <c r="M1690" t="s">
        <v>1469</v>
      </c>
    </row>
    <row r="1691" spans="12:13">
      <c r="L1691" s="69">
        <v>423500</v>
      </c>
      <c r="M1691" t="s">
        <v>1470</v>
      </c>
    </row>
    <row r="1692" spans="12:13">
      <c r="L1692" s="69">
        <v>423510</v>
      </c>
      <c r="M1692" t="s">
        <v>1471</v>
      </c>
    </row>
    <row r="1693" spans="12:13">
      <c r="L1693" s="69">
        <v>423511</v>
      </c>
      <c r="M1693" t="s">
        <v>1471</v>
      </c>
    </row>
    <row r="1694" spans="12:13">
      <c r="L1694" s="69">
        <v>423520</v>
      </c>
      <c r="M1694" t="s">
        <v>1472</v>
      </c>
    </row>
    <row r="1695" spans="12:13">
      <c r="L1695" s="69">
        <v>423521</v>
      </c>
      <c r="M1695" t="s">
        <v>1473</v>
      </c>
    </row>
    <row r="1696" spans="12:13">
      <c r="L1696" s="69">
        <v>423522</v>
      </c>
      <c r="M1696" t="s">
        <v>1474</v>
      </c>
    </row>
    <row r="1697" spans="12:13">
      <c r="L1697" s="69">
        <v>423530</v>
      </c>
      <c r="M1697" t="s">
        <v>1475</v>
      </c>
    </row>
    <row r="1698" spans="12:13">
      <c r="L1698" s="69">
        <v>423531</v>
      </c>
      <c r="M1698" t="s">
        <v>1476</v>
      </c>
    </row>
    <row r="1699" spans="12:13">
      <c r="L1699" s="69">
        <v>423532</v>
      </c>
      <c r="M1699" t="s">
        <v>1477</v>
      </c>
    </row>
    <row r="1700" spans="12:13">
      <c r="L1700" s="69">
        <v>423539</v>
      </c>
      <c r="M1700" t="s">
        <v>1478</v>
      </c>
    </row>
    <row r="1701" spans="12:13">
      <c r="L1701" s="69">
        <v>423540</v>
      </c>
      <c r="M1701" t="s">
        <v>1479</v>
      </c>
    </row>
    <row r="1702" spans="12:13">
      <c r="L1702" s="69">
        <v>423541</v>
      </c>
      <c r="M1702" t="s">
        <v>1480</v>
      </c>
    </row>
    <row r="1703" spans="12:13">
      <c r="L1703" s="69">
        <v>423542</v>
      </c>
      <c r="M1703" t="s">
        <v>1481</v>
      </c>
    </row>
    <row r="1704" spans="12:13">
      <c r="L1704" s="69">
        <v>423590</v>
      </c>
      <c r="M1704" t="s">
        <v>1482</v>
      </c>
    </row>
    <row r="1705" spans="12:13">
      <c r="L1705" s="69">
        <v>423591</v>
      </c>
      <c r="M1705" t="s">
        <v>1336</v>
      </c>
    </row>
    <row r="1706" spans="12:13">
      <c r="L1706" s="69">
        <v>423599</v>
      </c>
      <c r="M1706" t="s">
        <v>1482</v>
      </c>
    </row>
    <row r="1707" spans="12:13">
      <c r="L1707" s="69">
        <v>423600</v>
      </c>
      <c r="M1707" t="s">
        <v>1483</v>
      </c>
    </row>
    <row r="1708" spans="12:13">
      <c r="L1708" s="69">
        <v>423610</v>
      </c>
      <c r="M1708" t="s">
        <v>1484</v>
      </c>
    </row>
    <row r="1709" spans="12:13">
      <c r="L1709" s="69">
        <v>423611</v>
      </c>
      <c r="M1709" t="s">
        <v>1485</v>
      </c>
    </row>
    <row r="1710" spans="12:13">
      <c r="L1710" s="69">
        <v>423612</v>
      </c>
      <c r="M1710" t="s">
        <v>1486</v>
      </c>
    </row>
    <row r="1711" spans="12:13">
      <c r="L1711" s="69">
        <v>423620</v>
      </c>
      <c r="M1711" t="s">
        <v>1487</v>
      </c>
    </row>
    <row r="1712" spans="12:13">
      <c r="L1712" s="69">
        <v>423621</v>
      </c>
      <c r="M1712" t="s">
        <v>1487</v>
      </c>
    </row>
    <row r="1713" spans="12:13">
      <c r="L1713" s="69">
        <v>423700</v>
      </c>
      <c r="M1713" t="s">
        <v>1488</v>
      </c>
    </row>
    <row r="1714" spans="12:13">
      <c r="L1714" s="69">
        <v>423710</v>
      </c>
      <c r="M1714" t="s">
        <v>1488</v>
      </c>
    </row>
    <row r="1715" spans="12:13">
      <c r="L1715" s="69">
        <v>423711</v>
      </c>
      <c r="M1715" t="s">
        <v>1488</v>
      </c>
    </row>
    <row r="1716" spans="12:13">
      <c r="L1716" s="69">
        <v>423712</v>
      </c>
      <c r="M1716" t="s">
        <v>1489</v>
      </c>
    </row>
    <row r="1717" spans="12:13">
      <c r="L1717" s="69">
        <v>423900</v>
      </c>
      <c r="M1717" t="s">
        <v>1490</v>
      </c>
    </row>
    <row r="1718" spans="12:13">
      <c r="L1718" s="69">
        <v>423910</v>
      </c>
      <c r="M1718" t="s">
        <v>1490</v>
      </c>
    </row>
    <row r="1719" spans="12:13">
      <c r="L1719" s="69">
        <v>423911</v>
      </c>
      <c r="M1719" t="s">
        <v>1490</v>
      </c>
    </row>
    <row r="1720" spans="12:13">
      <c r="L1720" s="69">
        <v>424000</v>
      </c>
      <c r="M1720" t="s">
        <v>1491</v>
      </c>
    </row>
    <row r="1721" spans="12:13">
      <c r="L1721" s="69">
        <v>424100</v>
      </c>
      <c r="M1721" t="s">
        <v>1492</v>
      </c>
    </row>
    <row r="1722" spans="12:13">
      <c r="L1722" s="69">
        <v>424110</v>
      </c>
      <c r="M1722" t="s">
        <v>1493</v>
      </c>
    </row>
    <row r="1723" spans="12:13">
      <c r="L1723" s="69">
        <v>424111</v>
      </c>
      <c r="M1723" t="s">
        <v>1494</v>
      </c>
    </row>
    <row r="1724" spans="12:13">
      <c r="L1724" s="69">
        <v>424112</v>
      </c>
      <c r="M1724" t="s">
        <v>1495</v>
      </c>
    </row>
    <row r="1725" spans="12:13">
      <c r="L1725" s="69">
        <v>424113</v>
      </c>
      <c r="M1725" t="s">
        <v>1496</v>
      </c>
    </row>
    <row r="1726" spans="12:13">
      <c r="L1726" s="69">
        <v>424119</v>
      </c>
      <c r="M1726" t="s">
        <v>1497</v>
      </c>
    </row>
    <row r="1727" spans="12:13">
      <c r="L1727" s="69">
        <v>424200</v>
      </c>
      <c r="M1727" t="s">
        <v>1498</v>
      </c>
    </row>
    <row r="1728" spans="12:13">
      <c r="L1728" s="69">
        <v>424210</v>
      </c>
      <c r="M1728" t="s">
        <v>1499</v>
      </c>
    </row>
    <row r="1729" spans="12:13">
      <c r="L1729" s="69">
        <v>424211</v>
      </c>
      <c r="M1729" t="s">
        <v>1499</v>
      </c>
    </row>
    <row r="1730" spans="12:13">
      <c r="L1730" s="69">
        <v>424212</v>
      </c>
      <c r="M1730" t="s">
        <v>1500</v>
      </c>
    </row>
    <row r="1731" spans="12:13">
      <c r="L1731" s="69">
        <v>424213</v>
      </c>
      <c r="M1731" t="s">
        <v>1501</v>
      </c>
    </row>
    <row r="1732" spans="12:13">
      <c r="L1732" s="69">
        <v>424220</v>
      </c>
      <c r="M1732" t="s">
        <v>1502</v>
      </c>
    </row>
    <row r="1733" spans="12:13">
      <c r="L1733" s="69">
        <v>424221</v>
      </c>
      <c r="M1733" t="s">
        <v>1502</v>
      </c>
    </row>
    <row r="1734" spans="12:13">
      <c r="L1734" s="69">
        <v>424230</v>
      </c>
      <c r="M1734" t="s">
        <v>1503</v>
      </c>
    </row>
    <row r="1735" spans="12:13">
      <c r="L1735" s="69">
        <v>424231</v>
      </c>
      <c r="M1735" t="s">
        <v>1503</v>
      </c>
    </row>
    <row r="1736" spans="12:13">
      <c r="L1736" s="69">
        <v>424300</v>
      </c>
      <c r="M1736" t="s">
        <v>1504</v>
      </c>
    </row>
    <row r="1737" spans="12:13">
      <c r="L1737" s="69">
        <v>424310</v>
      </c>
      <c r="M1737" t="s">
        <v>1505</v>
      </c>
    </row>
    <row r="1738" spans="12:13">
      <c r="L1738" s="69">
        <v>424311</v>
      </c>
      <c r="M1738" t="s">
        <v>1505</v>
      </c>
    </row>
    <row r="1739" spans="12:13">
      <c r="L1739" s="69">
        <v>424320</v>
      </c>
      <c r="M1739" t="s">
        <v>1506</v>
      </c>
    </row>
    <row r="1740" spans="12:13">
      <c r="L1740" s="69">
        <v>424321</v>
      </c>
      <c r="M1740" t="s">
        <v>1506</v>
      </c>
    </row>
    <row r="1741" spans="12:13">
      <c r="L1741" s="69">
        <v>424330</v>
      </c>
      <c r="M1741" t="s">
        <v>1507</v>
      </c>
    </row>
    <row r="1742" spans="12:13">
      <c r="L1742" s="69">
        <v>424331</v>
      </c>
      <c r="M1742" t="s">
        <v>1507</v>
      </c>
    </row>
    <row r="1743" spans="12:13">
      <c r="L1743" s="69">
        <v>424340</v>
      </c>
      <c r="M1743" t="s">
        <v>1508</v>
      </c>
    </row>
    <row r="1744" spans="12:13">
      <c r="L1744" s="69">
        <v>424341</v>
      </c>
      <c r="M1744" t="s">
        <v>1508</v>
      </c>
    </row>
    <row r="1745" spans="12:13">
      <c r="L1745" s="69">
        <v>424350</v>
      </c>
      <c r="M1745" t="s">
        <v>1509</v>
      </c>
    </row>
    <row r="1746" spans="12:13">
      <c r="L1746" s="69">
        <v>424351</v>
      </c>
      <c r="M1746" t="s">
        <v>1509</v>
      </c>
    </row>
    <row r="1747" spans="12:13">
      <c r="L1747" s="69">
        <v>424400</v>
      </c>
      <c r="M1747" t="s">
        <v>1510</v>
      </c>
    </row>
    <row r="1748" spans="12:13">
      <c r="L1748" s="69">
        <v>424410</v>
      </c>
      <c r="M1748" t="s">
        <v>1510</v>
      </c>
    </row>
    <row r="1749" spans="12:13">
      <c r="L1749" s="69">
        <v>424411</v>
      </c>
      <c r="M1749" t="s">
        <v>1510</v>
      </c>
    </row>
    <row r="1750" spans="12:13">
      <c r="L1750" s="69">
        <v>424500</v>
      </c>
      <c r="M1750" t="s">
        <v>1511</v>
      </c>
    </row>
    <row r="1751" spans="12:13">
      <c r="L1751" s="69">
        <v>424510</v>
      </c>
      <c r="M1751" t="s">
        <v>1511</v>
      </c>
    </row>
    <row r="1752" spans="12:13">
      <c r="L1752" s="69">
        <v>424511</v>
      </c>
      <c r="M1752" t="s">
        <v>1511</v>
      </c>
    </row>
    <row r="1753" spans="12:13">
      <c r="L1753" s="69">
        <v>424600</v>
      </c>
      <c r="M1753" t="s">
        <v>1512</v>
      </c>
    </row>
    <row r="1754" spans="12:13">
      <c r="L1754" s="69">
        <v>424610</v>
      </c>
      <c r="M1754" t="s">
        <v>1513</v>
      </c>
    </row>
    <row r="1755" spans="12:13">
      <c r="L1755" s="69">
        <v>424611</v>
      </c>
      <c r="M1755" t="s">
        <v>1513</v>
      </c>
    </row>
    <row r="1756" spans="12:13">
      <c r="L1756" s="69">
        <v>424620</v>
      </c>
      <c r="M1756" t="s">
        <v>1514</v>
      </c>
    </row>
    <row r="1757" spans="12:13">
      <c r="L1757" s="69">
        <v>424621</v>
      </c>
      <c r="M1757" t="s">
        <v>1514</v>
      </c>
    </row>
    <row r="1758" spans="12:13">
      <c r="L1758" s="69">
        <v>424630</v>
      </c>
      <c r="M1758" t="s">
        <v>1515</v>
      </c>
    </row>
    <row r="1759" spans="12:13">
      <c r="L1759" s="69">
        <v>424631</v>
      </c>
      <c r="M1759" t="s">
        <v>1515</v>
      </c>
    </row>
    <row r="1760" spans="12:13">
      <c r="L1760" s="69">
        <v>424900</v>
      </c>
      <c r="M1760" t="s">
        <v>1516</v>
      </c>
    </row>
    <row r="1761" spans="12:13">
      <c r="L1761" s="69">
        <v>424910</v>
      </c>
      <c r="M1761" t="s">
        <v>1516</v>
      </c>
    </row>
    <row r="1762" spans="12:13">
      <c r="L1762" s="69">
        <v>424911</v>
      </c>
      <c r="M1762" t="s">
        <v>1516</v>
      </c>
    </row>
    <row r="1763" spans="12:13">
      <c r="L1763" s="69">
        <v>425000</v>
      </c>
      <c r="M1763" t="s">
        <v>1517</v>
      </c>
    </row>
    <row r="1764" spans="12:13">
      <c r="L1764" s="69">
        <v>425100</v>
      </c>
      <c r="M1764" t="s">
        <v>1518</v>
      </c>
    </row>
    <row r="1765" spans="12:13">
      <c r="L1765" s="69">
        <v>425110</v>
      </c>
      <c r="M1765" t="s">
        <v>1519</v>
      </c>
    </row>
    <row r="1766" spans="12:13">
      <c r="L1766" s="69">
        <v>425111</v>
      </c>
      <c r="M1766" t="s">
        <v>1520</v>
      </c>
    </row>
    <row r="1767" spans="12:13">
      <c r="L1767" s="69">
        <v>425112</v>
      </c>
      <c r="M1767" t="s">
        <v>1521</v>
      </c>
    </row>
    <row r="1768" spans="12:13">
      <c r="L1768" s="69">
        <v>425113</v>
      </c>
      <c r="M1768" t="s">
        <v>1522</v>
      </c>
    </row>
    <row r="1769" spans="12:13">
      <c r="L1769" s="69">
        <v>425114</v>
      </c>
      <c r="M1769" t="s">
        <v>1523</v>
      </c>
    </row>
    <row r="1770" spans="12:13">
      <c r="L1770" s="69">
        <v>425115</v>
      </c>
      <c r="M1770" t="s">
        <v>1524</v>
      </c>
    </row>
    <row r="1771" spans="12:13">
      <c r="L1771" s="69">
        <v>425116</v>
      </c>
      <c r="M1771" t="s">
        <v>1353</v>
      </c>
    </row>
    <row r="1772" spans="12:13">
      <c r="L1772" s="69">
        <v>425117</v>
      </c>
      <c r="M1772" t="s">
        <v>1525</v>
      </c>
    </row>
    <row r="1773" spans="12:13">
      <c r="L1773" s="69">
        <v>425118</v>
      </c>
      <c r="M1773" t="s">
        <v>1526</v>
      </c>
    </row>
    <row r="1774" spans="12:13">
      <c r="L1774" s="69">
        <v>425119</v>
      </c>
      <c r="M1774" t="s">
        <v>1527</v>
      </c>
    </row>
    <row r="1775" spans="12:13">
      <c r="L1775" s="69">
        <v>425190</v>
      </c>
      <c r="M1775" t="s">
        <v>1528</v>
      </c>
    </row>
    <row r="1776" spans="12:13">
      <c r="L1776" s="69">
        <v>425191</v>
      </c>
      <c r="M1776" t="s">
        <v>1528</v>
      </c>
    </row>
    <row r="1777" spans="12:13">
      <c r="L1777" s="69">
        <v>425200</v>
      </c>
      <c r="M1777" t="s">
        <v>1529</v>
      </c>
    </row>
    <row r="1778" spans="12:13">
      <c r="L1778" s="69">
        <v>425210</v>
      </c>
      <c r="M1778" t="s">
        <v>1530</v>
      </c>
    </row>
    <row r="1779" spans="12:13">
      <c r="L1779" s="69">
        <v>425211</v>
      </c>
      <c r="M1779" t="s">
        <v>1531</v>
      </c>
    </row>
    <row r="1780" spans="12:13">
      <c r="L1780" s="69">
        <v>425212</v>
      </c>
      <c r="M1780" t="s">
        <v>1532</v>
      </c>
    </row>
    <row r="1781" spans="12:13">
      <c r="L1781" s="69">
        <v>425213</v>
      </c>
      <c r="M1781" t="s">
        <v>1533</v>
      </c>
    </row>
    <row r="1782" spans="12:13">
      <c r="L1782" s="69">
        <v>425219</v>
      </c>
      <c r="M1782" t="s">
        <v>1534</v>
      </c>
    </row>
    <row r="1783" spans="12:13">
      <c r="L1783" s="69">
        <v>425220</v>
      </c>
      <c r="M1783" t="s">
        <v>1535</v>
      </c>
    </row>
    <row r="1784" spans="12:13">
      <c r="L1784" s="69">
        <v>425221</v>
      </c>
      <c r="M1784" t="s">
        <v>1536</v>
      </c>
    </row>
    <row r="1785" spans="12:13">
      <c r="L1785" s="69">
        <v>425222</v>
      </c>
      <c r="M1785" t="s">
        <v>336</v>
      </c>
    </row>
    <row r="1786" spans="12:13">
      <c r="L1786" s="69">
        <v>425223</v>
      </c>
      <c r="M1786" t="s">
        <v>1537</v>
      </c>
    </row>
    <row r="1787" spans="12:13">
      <c r="L1787" s="69">
        <v>425224</v>
      </c>
      <c r="M1787" t="s">
        <v>338</v>
      </c>
    </row>
    <row r="1788" spans="12:13">
      <c r="L1788" s="69">
        <v>425225</v>
      </c>
      <c r="M1788" t="s">
        <v>339</v>
      </c>
    </row>
    <row r="1789" spans="12:13">
      <c r="L1789" s="69">
        <v>425226</v>
      </c>
      <c r="M1789" t="s">
        <v>1538</v>
      </c>
    </row>
    <row r="1790" spans="12:13">
      <c r="L1790" s="69">
        <v>425227</v>
      </c>
      <c r="M1790" t="s">
        <v>1539</v>
      </c>
    </row>
    <row r="1791" spans="12:13">
      <c r="L1791" s="69">
        <v>425229</v>
      </c>
      <c r="M1791" t="s">
        <v>1540</v>
      </c>
    </row>
    <row r="1792" spans="12:13">
      <c r="L1792" s="69">
        <v>425230</v>
      </c>
      <c r="M1792" t="s">
        <v>1541</v>
      </c>
    </row>
    <row r="1793" spans="12:13">
      <c r="L1793" s="69">
        <v>425231</v>
      </c>
      <c r="M1793" t="s">
        <v>1541</v>
      </c>
    </row>
    <row r="1794" spans="12:13">
      <c r="L1794" s="69">
        <v>425240</v>
      </c>
      <c r="M1794" t="s">
        <v>1542</v>
      </c>
    </row>
    <row r="1795" spans="12:13">
      <c r="L1795" s="69">
        <v>425241</v>
      </c>
      <c r="M1795" t="s">
        <v>1543</v>
      </c>
    </row>
    <row r="1796" spans="12:13">
      <c r="L1796" s="69">
        <v>425242</v>
      </c>
      <c r="M1796" t="s">
        <v>1544</v>
      </c>
    </row>
    <row r="1797" spans="12:13">
      <c r="L1797" s="69">
        <v>425250</v>
      </c>
      <c r="M1797" t="s">
        <v>1545</v>
      </c>
    </row>
    <row r="1798" spans="12:13">
      <c r="L1798" s="69">
        <v>425251</v>
      </c>
      <c r="M1798" t="s">
        <v>1546</v>
      </c>
    </row>
    <row r="1799" spans="12:13">
      <c r="L1799" s="69">
        <v>425252</v>
      </c>
      <c r="M1799" t="s">
        <v>1547</v>
      </c>
    </row>
    <row r="1800" spans="12:13">
      <c r="L1800" s="69">
        <v>425253</v>
      </c>
      <c r="M1800" t="s">
        <v>1548</v>
      </c>
    </row>
    <row r="1801" spans="12:13">
      <c r="L1801" s="69">
        <v>425260</v>
      </c>
      <c r="M1801" t="s">
        <v>1549</v>
      </c>
    </row>
    <row r="1802" spans="12:13">
      <c r="L1802" s="69">
        <v>425261</v>
      </c>
      <c r="M1802" t="s">
        <v>1550</v>
      </c>
    </row>
    <row r="1803" spans="12:13">
      <c r="L1803" s="69">
        <v>425262</v>
      </c>
      <c r="M1803" t="s">
        <v>1551</v>
      </c>
    </row>
    <row r="1804" spans="12:13">
      <c r="L1804" s="69">
        <v>425263</v>
      </c>
      <c r="M1804" t="s">
        <v>1552</v>
      </c>
    </row>
    <row r="1805" spans="12:13">
      <c r="L1805" s="69">
        <v>425270</v>
      </c>
      <c r="M1805" t="s">
        <v>1553</v>
      </c>
    </row>
    <row r="1806" spans="12:13">
      <c r="L1806" s="69">
        <v>425271</v>
      </c>
      <c r="M1806" t="s">
        <v>1553</v>
      </c>
    </row>
    <row r="1807" spans="12:13">
      <c r="L1807" s="69">
        <v>425280</v>
      </c>
      <c r="M1807" t="s">
        <v>1554</v>
      </c>
    </row>
    <row r="1808" spans="12:13">
      <c r="L1808" s="69">
        <v>425281</v>
      </c>
      <c r="M1808" t="s">
        <v>1554</v>
      </c>
    </row>
    <row r="1809" spans="12:13">
      <c r="L1809" s="69">
        <v>425290</v>
      </c>
      <c r="M1809" t="s">
        <v>1555</v>
      </c>
    </row>
    <row r="1810" spans="12:13">
      <c r="L1810" s="69">
        <v>425291</v>
      </c>
      <c r="M1810" t="s">
        <v>1555</v>
      </c>
    </row>
    <row r="1811" spans="12:13">
      <c r="L1811" s="69">
        <v>426000</v>
      </c>
      <c r="M1811" t="s">
        <v>1556</v>
      </c>
    </row>
    <row r="1812" spans="12:13">
      <c r="L1812" s="69">
        <v>426100</v>
      </c>
      <c r="M1812" t="s">
        <v>1557</v>
      </c>
    </row>
    <row r="1813" spans="12:13">
      <c r="L1813" s="69">
        <v>426110</v>
      </c>
      <c r="M1813" t="s">
        <v>1558</v>
      </c>
    </row>
    <row r="1814" spans="12:13">
      <c r="L1814" s="69">
        <v>426111</v>
      </c>
      <c r="M1814" t="s">
        <v>1558</v>
      </c>
    </row>
    <row r="1815" spans="12:13">
      <c r="L1815" s="69">
        <v>426120</v>
      </c>
      <c r="M1815" t="s">
        <v>1559</v>
      </c>
    </row>
    <row r="1816" spans="12:13">
      <c r="L1816" s="69">
        <v>426121</v>
      </c>
      <c r="M1816" t="s">
        <v>1560</v>
      </c>
    </row>
    <row r="1817" spans="12:13">
      <c r="L1817" s="69">
        <v>426122</v>
      </c>
      <c r="M1817" t="s">
        <v>1561</v>
      </c>
    </row>
    <row r="1818" spans="12:13">
      <c r="L1818" s="69">
        <v>426123</v>
      </c>
      <c r="M1818" t="s">
        <v>1562</v>
      </c>
    </row>
    <row r="1819" spans="12:13">
      <c r="L1819" s="69">
        <v>426124</v>
      </c>
      <c r="M1819" t="s">
        <v>1563</v>
      </c>
    </row>
    <row r="1820" spans="12:13">
      <c r="L1820" s="69">
        <v>426129</v>
      </c>
      <c r="M1820" t="s">
        <v>1564</v>
      </c>
    </row>
    <row r="1821" spans="12:13">
      <c r="L1821" s="69">
        <v>426130</v>
      </c>
      <c r="M1821" t="s">
        <v>1565</v>
      </c>
    </row>
    <row r="1822" spans="12:13">
      <c r="L1822" s="69">
        <v>426131</v>
      </c>
      <c r="M1822" t="s">
        <v>1566</v>
      </c>
    </row>
    <row r="1823" spans="12:13">
      <c r="L1823" s="69">
        <v>426190</v>
      </c>
      <c r="M1823" t="s">
        <v>1567</v>
      </c>
    </row>
    <row r="1824" spans="12:13">
      <c r="L1824" s="69">
        <v>426191</v>
      </c>
      <c r="M1824" t="s">
        <v>1567</v>
      </c>
    </row>
    <row r="1825" spans="12:13">
      <c r="L1825" s="69">
        <v>426200</v>
      </c>
      <c r="M1825" t="s">
        <v>1568</v>
      </c>
    </row>
    <row r="1826" spans="12:13">
      <c r="L1826" s="69">
        <v>426210</v>
      </c>
      <c r="M1826" t="s">
        <v>1569</v>
      </c>
    </row>
    <row r="1827" spans="12:13">
      <c r="L1827" s="69">
        <v>426211</v>
      </c>
      <c r="M1827" t="s">
        <v>1569</v>
      </c>
    </row>
    <row r="1828" spans="12:13">
      <c r="L1828" s="69">
        <v>426220</v>
      </c>
      <c r="M1828" t="s">
        <v>1570</v>
      </c>
    </row>
    <row r="1829" spans="12:13">
      <c r="L1829" s="69">
        <v>426221</v>
      </c>
      <c r="M1829" t="s">
        <v>1570</v>
      </c>
    </row>
    <row r="1830" spans="12:13">
      <c r="L1830" s="69">
        <v>426230</v>
      </c>
      <c r="M1830" t="s">
        <v>1571</v>
      </c>
    </row>
    <row r="1831" spans="12:13">
      <c r="L1831" s="69">
        <v>426231</v>
      </c>
      <c r="M1831" t="s">
        <v>1571</v>
      </c>
    </row>
    <row r="1832" spans="12:13">
      <c r="L1832" s="69">
        <v>426240</v>
      </c>
      <c r="M1832" t="s">
        <v>1572</v>
      </c>
    </row>
    <row r="1833" spans="12:13">
      <c r="L1833" s="69">
        <v>426241</v>
      </c>
      <c r="M1833" t="s">
        <v>1572</v>
      </c>
    </row>
    <row r="1834" spans="12:13">
      <c r="L1834" s="69">
        <v>426250</v>
      </c>
      <c r="M1834" t="s">
        <v>1573</v>
      </c>
    </row>
    <row r="1835" spans="12:13">
      <c r="L1835" s="69">
        <v>426251</v>
      </c>
      <c r="M1835" t="s">
        <v>1573</v>
      </c>
    </row>
    <row r="1836" spans="12:13">
      <c r="L1836" s="69">
        <v>426290</v>
      </c>
      <c r="M1836" t="s">
        <v>1574</v>
      </c>
    </row>
    <row r="1837" spans="12:13">
      <c r="L1837" s="69">
        <v>426291</v>
      </c>
      <c r="M1837" t="s">
        <v>1574</v>
      </c>
    </row>
    <row r="1838" spans="12:13">
      <c r="L1838" s="69">
        <v>426300</v>
      </c>
      <c r="M1838" t="s">
        <v>1575</v>
      </c>
    </row>
    <row r="1839" spans="12:13">
      <c r="L1839" s="69">
        <v>426310</v>
      </c>
      <c r="M1839" t="s">
        <v>1576</v>
      </c>
    </row>
    <row r="1840" spans="12:13">
      <c r="L1840" s="69">
        <v>426311</v>
      </c>
      <c r="M1840" t="s">
        <v>1577</v>
      </c>
    </row>
    <row r="1841" spans="12:13">
      <c r="L1841" s="69">
        <v>426312</v>
      </c>
      <c r="M1841" t="s">
        <v>1578</v>
      </c>
    </row>
    <row r="1842" spans="12:13">
      <c r="L1842" s="69">
        <v>426320</v>
      </c>
      <c r="M1842" t="s">
        <v>1579</v>
      </c>
    </row>
    <row r="1843" spans="12:13">
      <c r="L1843" s="69">
        <v>426321</v>
      </c>
      <c r="M1843" t="s">
        <v>1579</v>
      </c>
    </row>
    <row r="1844" spans="12:13">
      <c r="L1844" s="69">
        <v>426400</v>
      </c>
      <c r="M1844" t="s">
        <v>1580</v>
      </c>
    </row>
    <row r="1845" spans="12:13">
      <c r="L1845" s="69">
        <v>426410</v>
      </c>
      <c r="M1845" t="s">
        <v>1581</v>
      </c>
    </row>
    <row r="1846" spans="12:13">
      <c r="L1846" s="69">
        <v>426411</v>
      </c>
      <c r="M1846" t="s">
        <v>1582</v>
      </c>
    </row>
    <row r="1847" spans="12:13">
      <c r="L1847" s="69">
        <v>426412</v>
      </c>
      <c r="M1847" t="s">
        <v>1583</v>
      </c>
    </row>
    <row r="1848" spans="12:13">
      <c r="L1848" s="69">
        <v>426413</v>
      </c>
      <c r="M1848" t="s">
        <v>1584</v>
      </c>
    </row>
    <row r="1849" spans="12:13">
      <c r="L1849" s="69">
        <v>426490</v>
      </c>
      <c r="M1849" t="s">
        <v>1585</v>
      </c>
    </row>
    <row r="1850" spans="12:13">
      <c r="L1850" s="69">
        <v>426491</v>
      </c>
      <c r="M1850" t="s">
        <v>1585</v>
      </c>
    </row>
    <row r="1851" spans="12:13">
      <c r="L1851" s="69">
        <v>426500</v>
      </c>
      <c r="M1851" t="s">
        <v>1586</v>
      </c>
    </row>
    <row r="1852" spans="12:13">
      <c r="L1852" s="69">
        <v>426510</v>
      </c>
      <c r="M1852" t="s">
        <v>1587</v>
      </c>
    </row>
    <row r="1853" spans="12:13">
      <c r="L1853" s="69">
        <v>426511</v>
      </c>
      <c r="M1853" t="s">
        <v>1587</v>
      </c>
    </row>
    <row r="1854" spans="12:13">
      <c r="L1854" s="69">
        <v>426520</v>
      </c>
      <c r="M1854" t="s">
        <v>1588</v>
      </c>
    </row>
    <row r="1855" spans="12:13">
      <c r="L1855" s="69">
        <v>426521</v>
      </c>
      <c r="M1855" t="s">
        <v>1588</v>
      </c>
    </row>
    <row r="1856" spans="12:13">
      <c r="L1856" s="69">
        <v>426530</v>
      </c>
      <c r="M1856" t="s">
        <v>1589</v>
      </c>
    </row>
    <row r="1857" spans="12:13">
      <c r="L1857" s="69">
        <v>426531</v>
      </c>
      <c r="M1857" t="s">
        <v>1589</v>
      </c>
    </row>
    <row r="1858" spans="12:13">
      <c r="L1858" s="69">
        <v>426540</v>
      </c>
      <c r="M1858" t="s">
        <v>1590</v>
      </c>
    </row>
    <row r="1859" spans="12:13">
      <c r="L1859" s="69">
        <v>426541</v>
      </c>
      <c r="M1859" t="s">
        <v>1590</v>
      </c>
    </row>
    <row r="1860" spans="12:13">
      <c r="L1860" s="69">
        <v>426550</v>
      </c>
      <c r="M1860" t="s">
        <v>1591</v>
      </c>
    </row>
    <row r="1861" spans="12:13">
      <c r="L1861" s="69">
        <v>426551</v>
      </c>
      <c r="M1861" t="s">
        <v>1591</v>
      </c>
    </row>
    <row r="1862" spans="12:13">
      <c r="L1862" s="69">
        <v>426590</v>
      </c>
      <c r="M1862" t="s">
        <v>1592</v>
      </c>
    </row>
    <row r="1863" spans="12:13">
      <c r="L1863" s="69">
        <v>426591</v>
      </c>
      <c r="M1863" t="s">
        <v>1592</v>
      </c>
    </row>
    <row r="1864" spans="12:13">
      <c r="L1864" s="69">
        <v>426600</v>
      </c>
      <c r="M1864" t="s">
        <v>1593</v>
      </c>
    </row>
    <row r="1865" spans="12:13">
      <c r="L1865" s="69">
        <v>426610</v>
      </c>
      <c r="M1865" t="s">
        <v>1579</v>
      </c>
    </row>
    <row r="1866" spans="12:13">
      <c r="L1866" s="69">
        <v>426611</v>
      </c>
      <c r="M1866" t="s">
        <v>1579</v>
      </c>
    </row>
    <row r="1867" spans="12:13">
      <c r="L1867" s="69">
        <v>426620</v>
      </c>
      <c r="M1867" t="s">
        <v>1594</v>
      </c>
    </row>
    <row r="1868" spans="12:13">
      <c r="L1868" s="69">
        <v>426621</v>
      </c>
      <c r="M1868" t="s">
        <v>1594</v>
      </c>
    </row>
    <row r="1869" spans="12:13">
      <c r="L1869" s="69">
        <v>426630</v>
      </c>
      <c r="M1869" t="s">
        <v>1595</v>
      </c>
    </row>
    <row r="1870" spans="12:13">
      <c r="L1870" s="69">
        <v>426631</v>
      </c>
      <c r="M1870" t="s">
        <v>1595</v>
      </c>
    </row>
    <row r="1871" spans="12:13">
      <c r="L1871" s="69">
        <v>426700</v>
      </c>
      <c r="M1871" t="s">
        <v>1596</v>
      </c>
    </row>
    <row r="1872" spans="12:13">
      <c r="L1872" s="69">
        <v>426710</v>
      </c>
      <c r="M1872" t="s">
        <v>1597</v>
      </c>
    </row>
    <row r="1873" spans="12:13">
      <c r="L1873" s="69">
        <v>426711</v>
      </c>
      <c r="M1873" t="s">
        <v>1597</v>
      </c>
    </row>
    <row r="1874" spans="12:13">
      <c r="L1874" s="69">
        <v>426720</v>
      </c>
      <c r="M1874" t="s">
        <v>1598</v>
      </c>
    </row>
    <row r="1875" spans="12:13">
      <c r="L1875" s="69">
        <v>426721</v>
      </c>
      <c r="M1875" t="s">
        <v>1598</v>
      </c>
    </row>
    <row r="1876" spans="12:13">
      <c r="L1876" s="69">
        <v>426730</v>
      </c>
      <c r="M1876" t="s">
        <v>1599</v>
      </c>
    </row>
    <row r="1877" spans="12:13">
      <c r="L1877" s="69">
        <v>426731</v>
      </c>
      <c r="M1877" t="s">
        <v>1599</v>
      </c>
    </row>
    <row r="1878" spans="12:13">
      <c r="L1878" s="69">
        <v>426740</v>
      </c>
      <c r="M1878" t="s">
        <v>1600</v>
      </c>
    </row>
    <row r="1879" spans="12:13">
      <c r="L1879" s="69">
        <v>426741</v>
      </c>
      <c r="M1879" t="s">
        <v>1600</v>
      </c>
    </row>
    <row r="1880" spans="12:13">
      <c r="L1880" s="69">
        <v>426750</v>
      </c>
      <c r="M1880" t="s">
        <v>1601</v>
      </c>
    </row>
    <row r="1881" spans="12:13">
      <c r="L1881" s="69">
        <v>426751</v>
      </c>
      <c r="M1881" t="s">
        <v>1601</v>
      </c>
    </row>
    <row r="1882" spans="12:13">
      <c r="L1882" s="69">
        <v>426760</v>
      </c>
      <c r="M1882" t="s">
        <v>1602</v>
      </c>
    </row>
    <row r="1883" spans="12:13">
      <c r="L1883" s="69">
        <v>426761</v>
      </c>
      <c r="M1883" t="s">
        <v>1602</v>
      </c>
    </row>
    <row r="1884" spans="12:13">
      <c r="L1884" s="69">
        <v>426790</v>
      </c>
      <c r="M1884" t="s">
        <v>1603</v>
      </c>
    </row>
    <row r="1885" spans="12:13">
      <c r="L1885" s="69">
        <v>426791</v>
      </c>
      <c r="M1885" t="s">
        <v>1603</v>
      </c>
    </row>
    <row r="1886" spans="12:13">
      <c r="L1886" s="69">
        <v>426800</v>
      </c>
      <c r="M1886" t="s">
        <v>1604</v>
      </c>
    </row>
    <row r="1887" spans="12:13">
      <c r="L1887" s="69">
        <v>426810</v>
      </c>
      <c r="M1887" t="s">
        <v>1605</v>
      </c>
    </row>
    <row r="1888" spans="12:13">
      <c r="L1888" s="69">
        <v>426811</v>
      </c>
      <c r="M1888" t="s">
        <v>1606</v>
      </c>
    </row>
    <row r="1889" spans="12:13">
      <c r="L1889" s="69">
        <v>426812</v>
      </c>
      <c r="M1889" t="s">
        <v>1607</v>
      </c>
    </row>
    <row r="1890" spans="12:13">
      <c r="L1890" s="69">
        <v>426819</v>
      </c>
      <c r="M1890" t="s">
        <v>1608</v>
      </c>
    </row>
    <row r="1891" spans="12:13">
      <c r="L1891" s="69">
        <v>426820</v>
      </c>
      <c r="M1891" t="s">
        <v>1609</v>
      </c>
    </row>
    <row r="1892" spans="12:13">
      <c r="L1892" s="69">
        <v>426821</v>
      </c>
      <c r="M1892" t="s">
        <v>1610</v>
      </c>
    </row>
    <row r="1893" spans="12:13">
      <c r="L1893" s="69">
        <v>426822</v>
      </c>
      <c r="M1893" t="s">
        <v>1611</v>
      </c>
    </row>
    <row r="1894" spans="12:13">
      <c r="L1894" s="69">
        <v>426823</v>
      </c>
      <c r="M1894" t="s">
        <v>1612</v>
      </c>
    </row>
    <row r="1895" spans="12:13">
      <c r="L1895" s="69">
        <v>426829</v>
      </c>
      <c r="M1895" t="s">
        <v>1613</v>
      </c>
    </row>
    <row r="1896" spans="12:13">
      <c r="L1896" s="69">
        <v>426900</v>
      </c>
      <c r="M1896" t="s">
        <v>1614</v>
      </c>
    </row>
    <row r="1897" spans="12:13">
      <c r="L1897" s="69">
        <v>426910</v>
      </c>
      <c r="M1897" t="s">
        <v>1614</v>
      </c>
    </row>
    <row r="1898" spans="12:13">
      <c r="L1898" s="69">
        <v>426911</v>
      </c>
      <c r="M1898" t="s">
        <v>1615</v>
      </c>
    </row>
    <row r="1899" spans="12:13">
      <c r="L1899" s="69">
        <v>426912</v>
      </c>
      <c r="M1899" t="s">
        <v>1616</v>
      </c>
    </row>
    <row r="1900" spans="12:13">
      <c r="L1900" s="69">
        <v>426913</v>
      </c>
      <c r="M1900" t="s">
        <v>1617</v>
      </c>
    </row>
    <row r="1901" spans="12:13">
      <c r="L1901" s="69">
        <v>426914</v>
      </c>
      <c r="M1901" t="s">
        <v>1618</v>
      </c>
    </row>
    <row r="1902" spans="12:13">
      <c r="L1902" s="69">
        <v>426919</v>
      </c>
      <c r="M1902" t="s">
        <v>1619</v>
      </c>
    </row>
    <row r="1903" spans="12:13">
      <c r="L1903" s="69">
        <v>430000</v>
      </c>
      <c r="M1903" t="s">
        <v>1620</v>
      </c>
    </row>
    <row r="1904" spans="12:13">
      <c r="L1904" s="69">
        <v>431000</v>
      </c>
      <c r="M1904" t="s">
        <v>1621</v>
      </c>
    </row>
    <row r="1905" spans="12:13">
      <c r="L1905" s="69">
        <v>431100</v>
      </c>
      <c r="M1905" t="s">
        <v>1622</v>
      </c>
    </row>
    <row r="1906" spans="12:13">
      <c r="L1906" s="69">
        <v>431110</v>
      </c>
      <c r="M1906" t="s">
        <v>1622</v>
      </c>
    </row>
    <row r="1907" spans="12:13">
      <c r="L1907" s="69">
        <v>431111</v>
      </c>
      <c r="M1907" t="s">
        <v>1622</v>
      </c>
    </row>
    <row r="1908" spans="12:13">
      <c r="L1908" s="69">
        <v>431200</v>
      </c>
      <c r="M1908" t="s">
        <v>1623</v>
      </c>
    </row>
    <row r="1909" spans="12:13">
      <c r="L1909" s="69">
        <v>431210</v>
      </c>
      <c r="M1909" t="s">
        <v>1623</v>
      </c>
    </row>
    <row r="1910" spans="12:13">
      <c r="L1910" s="69">
        <v>431211</v>
      </c>
      <c r="M1910" t="s">
        <v>1623</v>
      </c>
    </row>
    <row r="1911" spans="12:13">
      <c r="L1911" s="69">
        <v>431300</v>
      </c>
      <c r="M1911" t="s">
        <v>1624</v>
      </c>
    </row>
    <row r="1912" spans="12:13">
      <c r="L1912" s="69">
        <v>431310</v>
      </c>
      <c r="M1912" t="s">
        <v>1624</v>
      </c>
    </row>
    <row r="1913" spans="12:13">
      <c r="L1913" s="69">
        <v>431311</v>
      </c>
      <c r="M1913" t="s">
        <v>1624</v>
      </c>
    </row>
    <row r="1914" spans="12:13">
      <c r="L1914" s="69">
        <v>432000</v>
      </c>
      <c r="M1914" t="s">
        <v>1625</v>
      </c>
    </row>
    <row r="1915" spans="12:13">
      <c r="L1915" s="69">
        <v>432100</v>
      </c>
      <c r="M1915" t="s">
        <v>1625</v>
      </c>
    </row>
    <row r="1916" spans="12:13">
      <c r="L1916" s="69">
        <v>432110</v>
      </c>
      <c r="M1916" t="s">
        <v>1625</v>
      </c>
    </row>
    <row r="1917" spans="12:13">
      <c r="L1917" s="69">
        <v>432111</v>
      </c>
      <c r="M1917" t="s">
        <v>1625</v>
      </c>
    </row>
    <row r="1918" spans="12:13">
      <c r="L1918" t="s">
        <v>1626</v>
      </c>
      <c r="M1918" t="s">
        <v>1627</v>
      </c>
    </row>
    <row r="1919" spans="12:13">
      <c r="L1919" s="69">
        <v>433100</v>
      </c>
      <c r="M1919" t="s">
        <v>1628</v>
      </c>
    </row>
    <row r="1920" spans="12:13">
      <c r="L1920" s="69">
        <v>433110</v>
      </c>
      <c r="M1920" t="s">
        <v>1628</v>
      </c>
    </row>
    <row r="1921" spans="12:13">
      <c r="L1921" s="69">
        <v>433111</v>
      </c>
      <c r="M1921" t="s">
        <v>1628</v>
      </c>
    </row>
    <row r="1922" spans="12:13">
      <c r="L1922" s="69">
        <v>434000</v>
      </c>
      <c r="M1922" t="s">
        <v>1629</v>
      </c>
    </row>
    <row r="1923" spans="12:13">
      <c r="L1923" s="69">
        <v>434100</v>
      </c>
      <c r="M1923" t="s">
        <v>1630</v>
      </c>
    </row>
    <row r="1924" spans="12:13">
      <c r="L1924" s="69">
        <v>434110</v>
      </c>
      <c r="M1924" t="s">
        <v>1630</v>
      </c>
    </row>
    <row r="1925" spans="12:13">
      <c r="L1925" s="69">
        <v>434111</v>
      </c>
      <c r="M1925" t="s">
        <v>1630</v>
      </c>
    </row>
    <row r="1926" spans="12:13">
      <c r="L1926" s="69">
        <v>434200</v>
      </c>
      <c r="M1926" t="s">
        <v>1631</v>
      </c>
    </row>
    <row r="1927" spans="12:13">
      <c r="L1927" s="69">
        <v>434210</v>
      </c>
      <c r="M1927" t="s">
        <v>1631</v>
      </c>
    </row>
    <row r="1928" spans="12:13">
      <c r="L1928" s="69">
        <v>434211</v>
      </c>
      <c r="M1928" t="s">
        <v>1631</v>
      </c>
    </row>
    <row r="1929" spans="12:13">
      <c r="L1929" s="69">
        <v>434300</v>
      </c>
      <c r="M1929" t="s">
        <v>1632</v>
      </c>
    </row>
    <row r="1930" spans="12:13">
      <c r="L1930" s="69">
        <v>434310</v>
      </c>
      <c r="M1930" t="s">
        <v>1633</v>
      </c>
    </row>
    <row r="1931" spans="12:13">
      <c r="L1931" s="69">
        <v>434311</v>
      </c>
      <c r="M1931" t="s">
        <v>1633</v>
      </c>
    </row>
    <row r="1932" spans="12:13">
      <c r="L1932" s="69">
        <v>434320</v>
      </c>
      <c r="M1932" t="s">
        <v>1634</v>
      </c>
    </row>
    <row r="1933" spans="12:13">
      <c r="L1933" s="69">
        <v>434321</v>
      </c>
      <c r="M1933" t="s">
        <v>1634</v>
      </c>
    </row>
    <row r="1934" spans="12:13">
      <c r="L1934" s="69">
        <v>435000</v>
      </c>
      <c r="M1934" t="s">
        <v>1635</v>
      </c>
    </row>
    <row r="1935" spans="12:13">
      <c r="L1935" s="69">
        <v>435100</v>
      </c>
      <c r="M1935" t="s">
        <v>1635</v>
      </c>
    </row>
    <row r="1936" spans="12:13">
      <c r="L1936" s="69">
        <v>435110</v>
      </c>
      <c r="M1936" t="s">
        <v>1635</v>
      </c>
    </row>
    <row r="1937" spans="12:13">
      <c r="L1937" s="69">
        <v>435111</v>
      </c>
      <c r="M1937" t="s">
        <v>1635</v>
      </c>
    </row>
    <row r="1938" spans="12:13">
      <c r="L1938" s="69">
        <v>440000</v>
      </c>
      <c r="M1938" t="s">
        <v>1636</v>
      </c>
    </row>
    <row r="1939" spans="12:13">
      <c r="L1939" s="69">
        <v>441000</v>
      </c>
      <c r="M1939" t="s">
        <v>1637</v>
      </c>
    </row>
    <row r="1940" spans="12:13">
      <c r="L1940" s="69">
        <v>441100</v>
      </c>
      <c r="M1940" t="s">
        <v>1638</v>
      </c>
    </row>
    <row r="1941" spans="12:13">
      <c r="L1941" s="69">
        <v>441110</v>
      </c>
      <c r="M1941" t="s">
        <v>1639</v>
      </c>
    </row>
    <row r="1942" spans="12:13">
      <c r="L1942" s="69">
        <v>441111</v>
      </c>
      <c r="M1942" t="s">
        <v>1639</v>
      </c>
    </row>
    <row r="1943" spans="12:13">
      <c r="L1943" s="69">
        <v>441120</v>
      </c>
      <c r="M1943" t="s">
        <v>1640</v>
      </c>
    </row>
    <row r="1944" spans="12:13">
      <c r="L1944" s="69">
        <v>441121</v>
      </c>
      <c r="M1944" t="s">
        <v>1640</v>
      </c>
    </row>
    <row r="1945" spans="12:13">
      <c r="L1945" s="69">
        <v>441200</v>
      </c>
      <c r="M1945" t="s">
        <v>1641</v>
      </c>
    </row>
    <row r="1946" spans="12:13">
      <c r="L1946" s="69">
        <v>441210</v>
      </c>
      <c r="M1946" t="s">
        <v>1642</v>
      </c>
    </row>
    <row r="1947" spans="12:13">
      <c r="L1947" s="69">
        <v>441211</v>
      </c>
      <c r="M1947" t="s">
        <v>1642</v>
      </c>
    </row>
    <row r="1948" spans="12:13">
      <c r="L1948" s="69">
        <v>441220</v>
      </c>
      <c r="M1948" t="s">
        <v>1643</v>
      </c>
    </row>
    <row r="1949" spans="12:13">
      <c r="L1949" s="69">
        <v>441221</v>
      </c>
      <c r="M1949" t="s">
        <v>1643</v>
      </c>
    </row>
    <row r="1950" spans="12:13">
      <c r="L1950" s="69">
        <v>441230</v>
      </c>
      <c r="M1950" t="s">
        <v>1644</v>
      </c>
    </row>
    <row r="1951" spans="12:13">
      <c r="L1951" s="69">
        <v>441231</v>
      </c>
      <c r="M1951" t="s">
        <v>1644</v>
      </c>
    </row>
    <row r="1952" spans="12:13">
      <c r="L1952" s="69">
        <v>441240</v>
      </c>
      <c r="M1952" t="s">
        <v>1645</v>
      </c>
    </row>
    <row r="1953" spans="12:13">
      <c r="L1953" s="69">
        <v>441241</v>
      </c>
      <c r="M1953" t="s">
        <v>1645</v>
      </c>
    </row>
    <row r="1954" spans="12:13">
      <c r="L1954" s="69">
        <v>441250</v>
      </c>
      <c r="M1954" t="s">
        <v>1646</v>
      </c>
    </row>
    <row r="1955" spans="12:13">
      <c r="L1955" s="69">
        <v>441251</v>
      </c>
      <c r="M1955" t="s">
        <v>1647</v>
      </c>
    </row>
    <row r="1956" spans="12:13">
      <c r="L1956" s="69">
        <v>441252</v>
      </c>
      <c r="M1956" t="s">
        <v>1648</v>
      </c>
    </row>
    <row r="1957" spans="12:13">
      <c r="L1957" s="69">
        <v>441255</v>
      </c>
      <c r="M1957" t="s">
        <v>1649</v>
      </c>
    </row>
    <row r="1958" spans="12:13">
      <c r="L1958" s="69">
        <v>441300</v>
      </c>
      <c r="M1958" t="s">
        <v>1650</v>
      </c>
    </row>
    <row r="1959" spans="12:13">
      <c r="L1959" s="69">
        <v>441310</v>
      </c>
      <c r="M1959" t="s">
        <v>1651</v>
      </c>
    </row>
    <row r="1960" spans="12:13">
      <c r="L1960" s="69">
        <v>441311</v>
      </c>
      <c r="M1960" t="s">
        <v>1651</v>
      </c>
    </row>
    <row r="1961" spans="12:13">
      <c r="L1961" s="69">
        <v>441390</v>
      </c>
      <c r="M1961" t="s">
        <v>1652</v>
      </c>
    </row>
    <row r="1962" spans="12:13">
      <c r="L1962" s="69">
        <v>441391</v>
      </c>
      <c r="M1962" t="s">
        <v>1652</v>
      </c>
    </row>
    <row r="1963" spans="12:13">
      <c r="L1963" s="69">
        <v>441400</v>
      </c>
      <c r="M1963" t="s">
        <v>1653</v>
      </c>
    </row>
    <row r="1964" spans="12:13">
      <c r="L1964" s="69">
        <v>441410</v>
      </c>
      <c r="M1964" t="s">
        <v>1653</v>
      </c>
    </row>
    <row r="1965" spans="12:13">
      <c r="L1965" s="69">
        <v>441411</v>
      </c>
      <c r="M1965" t="s">
        <v>1653</v>
      </c>
    </row>
    <row r="1966" spans="12:13">
      <c r="L1966" s="69">
        <v>441500</v>
      </c>
      <c r="M1966" t="s">
        <v>1654</v>
      </c>
    </row>
    <row r="1967" spans="12:13">
      <c r="L1967" s="69">
        <v>441510</v>
      </c>
      <c r="M1967" t="s">
        <v>1654</v>
      </c>
    </row>
    <row r="1968" spans="12:13">
      <c r="L1968" s="69">
        <v>441511</v>
      </c>
      <c r="M1968" t="s">
        <v>1654</v>
      </c>
    </row>
    <row r="1969" spans="12:13">
      <c r="L1969" s="69">
        <v>441600</v>
      </c>
      <c r="M1969" t="s">
        <v>1655</v>
      </c>
    </row>
    <row r="1970" spans="12:13">
      <c r="L1970" s="69">
        <v>441610</v>
      </c>
      <c r="M1970" t="s">
        <v>1655</v>
      </c>
    </row>
    <row r="1971" spans="12:13">
      <c r="L1971" s="69">
        <v>441611</v>
      </c>
      <c r="M1971" t="s">
        <v>1655</v>
      </c>
    </row>
    <row r="1972" spans="12:13">
      <c r="L1972" s="69">
        <v>441700</v>
      </c>
      <c r="M1972" t="s">
        <v>1656</v>
      </c>
    </row>
    <row r="1973" spans="12:13">
      <c r="L1973" s="69">
        <v>441710</v>
      </c>
      <c r="M1973" t="s">
        <v>1656</v>
      </c>
    </row>
    <row r="1974" spans="12:13">
      <c r="L1974" s="69">
        <v>441711</v>
      </c>
      <c r="M1974" t="s">
        <v>1656</v>
      </c>
    </row>
    <row r="1975" spans="12:13">
      <c r="L1975" s="69">
        <v>441800</v>
      </c>
      <c r="M1975" t="s">
        <v>1657</v>
      </c>
    </row>
    <row r="1976" spans="12:13">
      <c r="L1976" s="69">
        <v>441810</v>
      </c>
      <c r="M1976" t="s">
        <v>1657</v>
      </c>
    </row>
    <row r="1977" spans="12:13">
      <c r="L1977" s="69">
        <v>441811</v>
      </c>
      <c r="M1977" t="s">
        <v>1657</v>
      </c>
    </row>
    <row r="1978" spans="12:13">
      <c r="L1978" s="69">
        <v>441900</v>
      </c>
      <c r="M1978" t="s">
        <v>1658</v>
      </c>
    </row>
    <row r="1979" spans="12:13">
      <c r="L1979" s="69">
        <v>441910</v>
      </c>
      <c r="M1979" t="s">
        <v>1658</v>
      </c>
    </row>
    <row r="1980" spans="12:13">
      <c r="L1980" s="69">
        <v>441911</v>
      </c>
      <c r="M1980" t="s">
        <v>1659</v>
      </c>
    </row>
    <row r="1981" spans="12:13">
      <c r="L1981" s="69">
        <v>442000</v>
      </c>
      <c r="M1981" t="s">
        <v>1660</v>
      </c>
    </row>
    <row r="1982" spans="12:13">
      <c r="L1982" s="69">
        <v>442100</v>
      </c>
      <c r="M1982" t="s">
        <v>1661</v>
      </c>
    </row>
    <row r="1983" spans="12:13">
      <c r="L1983" s="69">
        <v>442110</v>
      </c>
      <c r="M1983" t="s">
        <v>1662</v>
      </c>
    </row>
    <row r="1984" spans="12:13">
      <c r="L1984" s="69">
        <v>442111</v>
      </c>
      <c r="M1984" t="s">
        <v>1662</v>
      </c>
    </row>
    <row r="1985" spans="12:13">
      <c r="L1985" s="69">
        <v>442120</v>
      </c>
      <c r="M1985" t="s">
        <v>1663</v>
      </c>
    </row>
    <row r="1986" spans="12:13">
      <c r="L1986" s="69">
        <v>442121</v>
      </c>
      <c r="M1986" t="s">
        <v>1664</v>
      </c>
    </row>
    <row r="1987" spans="12:13">
      <c r="L1987" s="69">
        <v>442200</v>
      </c>
      <c r="M1987" t="s">
        <v>1665</v>
      </c>
    </row>
    <row r="1988" spans="12:13">
      <c r="L1988" s="69">
        <v>442210</v>
      </c>
      <c r="M1988" t="s">
        <v>1666</v>
      </c>
    </row>
    <row r="1989" spans="12:13">
      <c r="L1989" s="69">
        <v>442211</v>
      </c>
      <c r="M1989" t="s">
        <v>1666</v>
      </c>
    </row>
    <row r="1990" spans="12:13">
      <c r="L1990" s="69">
        <v>442220</v>
      </c>
      <c r="M1990" t="s">
        <v>1667</v>
      </c>
    </row>
    <row r="1991" spans="12:13">
      <c r="L1991" s="69">
        <v>442221</v>
      </c>
      <c r="M1991" t="s">
        <v>1667</v>
      </c>
    </row>
    <row r="1992" spans="12:13">
      <c r="L1992" s="69">
        <v>442290</v>
      </c>
      <c r="M1992" t="s">
        <v>1668</v>
      </c>
    </row>
    <row r="1993" spans="12:13">
      <c r="L1993" s="69">
        <v>442291</v>
      </c>
      <c r="M1993" t="s">
        <v>1668</v>
      </c>
    </row>
    <row r="1994" spans="12:13">
      <c r="L1994" s="69">
        <v>442300</v>
      </c>
      <c r="M1994" t="s">
        <v>1669</v>
      </c>
    </row>
    <row r="1995" spans="12:13">
      <c r="L1995" s="69">
        <v>442310</v>
      </c>
      <c r="M1995" t="s">
        <v>1670</v>
      </c>
    </row>
    <row r="1996" spans="12:13">
      <c r="L1996" s="69">
        <v>442311</v>
      </c>
      <c r="M1996" t="s">
        <v>1670</v>
      </c>
    </row>
    <row r="1997" spans="12:13">
      <c r="L1997" s="69">
        <v>442320</v>
      </c>
      <c r="M1997" t="s">
        <v>1671</v>
      </c>
    </row>
    <row r="1998" spans="12:13">
      <c r="L1998" s="69">
        <v>442321</v>
      </c>
      <c r="M1998" t="s">
        <v>1671</v>
      </c>
    </row>
    <row r="1999" spans="12:13">
      <c r="L1999" s="69">
        <v>442330</v>
      </c>
      <c r="M1999" t="s">
        <v>1672</v>
      </c>
    </row>
    <row r="2000" spans="12:13">
      <c r="L2000" s="69">
        <v>442331</v>
      </c>
      <c r="M2000" t="s">
        <v>1672</v>
      </c>
    </row>
    <row r="2001" spans="12:13">
      <c r="L2001" s="69">
        <v>442340</v>
      </c>
      <c r="M2001" t="s">
        <v>1673</v>
      </c>
    </row>
    <row r="2002" spans="12:13">
      <c r="L2002" s="69">
        <v>442341</v>
      </c>
      <c r="M2002" t="s">
        <v>1673</v>
      </c>
    </row>
    <row r="2003" spans="12:13">
      <c r="L2003" s="69">
        <v>442350</v>
      </c>
      <c r="M2003" t="s">
        <v>1674</v>
      </c>
    </row>
    <row r="2004" spans="12:13">
      <c r="L2004" s="69">
        <v>442351</v>
      </c>
      <c r="M2004" t="s">
        <v>1674</v>
      </c>
    </row>
    <row r="2005" spans="12:13">
      <c r="L2005" s="69">
        <v>442390</v>
      </c>
      <c r="M2005" t="s">
        <v>1675</v>
      </c>
    </row>
    <row r="2006" spans="12:13">
      <c r="L2006" s="69">
        <v>442391</v>
      </c>
      <c r="M2006" t="s">
        <v>1675</v>
      </c>
    </row>
    <row r="2007" spans="12:13">
      <c r="L2007" s="69">
        <v>442400</v>
      </c>
      <c r="M2007" t="s">
        <v>1676</v>
      </c>
    </row>
    <row r="2008" spans="12:13">
      <c r="L2008" s="69">
        <v>442410</v>
      </c>
      <c r="M2008" t="s">
        <v>1677</v>
      </c>
    </row>
    <row r="2009" spans="12:13">
      <c r="L2009" s="69">
        <v>442411</v>
      </c>
      <c r="M2009" t="s">
        <v>1677</v>
      </c>
    </row>
    <row r="2010" spans="12:13">
      <c r="L2010" s="69">
        <v>442490</v>
      </c>
      <c r="M2010" t="s">
        <v>1678</v>
      </c>
    </row>
    <row r="2011" spans="12:13">
      <c r="L2011" s="69">
        <v>442491</v>
      </c>
      <c r="M2011" t="s">
        <v>1678</v>
      </c>
    </row>
    <row r="2012" spans="12:13">
      <c r="L2012" s="69">
        <v>442500</v>
      </c>
      <c r="M2012" t="s">
        <v>1679</v>
      </c>
    </row>
    <row r="2013" spans="12:13">
      <c r="L2013" s="69">
        <v>442510</v>
      </c>
      <c r="M2013" t="s">
        <v>1679</v>
      </c>
    </row>
    <row r="2014" spans="12:13">
      <c r="L2014" s="69">
        <v>442511</v>
      </c>
      <c r="M2014" t="s">
        <v>1679</v>
      </c>
    </row>
    <row r="2015" spans="12:13">
      <c r="L2015" s="69">
        <v>442600</v>
      </c>
      <c r="M2015" t="s">
        <v>1680</v>
      </c>
    </row>
    <row r="2016" spans="12:13">
      <c r="L2016" s="69">
        <v>442610</v>
      </c>
      <c r="M2016" t="s">
        <v>1680</v>
      </c>
    </row>
    <row r="2017" spans="12:13">
      <c r="L2017" s="69">
        <v>442611</v>
      </c>
      <c r="M2017" t="s">
        <v>1680</v>
      </c>
    </row>
    <row r="2018" spans="12:13">
      <c r="L2018" s="69">
        <v>443000</v>
      </c>
      <c r="M2018" t="s">
        <v>1681</v>
      </c>
    </row>
    <row r="2019" spans="12:13">
      <c r="L2019" s="69">
        <v>443100</v>
      </c>
      <c r="M2019" t="s">
        <v>1681</v>
      </c>
    </row>
    <row r="2020" spans="12:13">
      <c r="L2020" s="69">
        <v>443110</v>
      </c>
      <c r="M2020" t="s">
        <v>1681</v>
      </c>
    </row>
    <row r="2021" spans="12:13">
      <c r="L2021" s="69">
        <v>443111</v>
      </c>
      <c r="M2021" t="s">
        <v>1681</v>
      </c>
    </row>
    <row r="2022" spans="12:13">
      <c r="L2022" s="69">
        <v>444000</v>
      </c>
      <c r="M2022" t="s">
        <v>1682</v>
      </c>
    </row>
    <row r="2023" spans="12:13">
      <c r="L2023" s="69">
        <v>444100</v>
      </c>
      <c r="M2023" t="s">
        <v>1683</v>
      </c>
    </row>
    <row r="2024" spans="12:13">
      <c r="L2024" s="69">
        <v>444110</v>
      </c>
      <c r="M2024" t="s">
        <v>1683</v>
      </c>
    </row>
    <row r="2025" spans="12:13">
      <c r="L2025" s="69">
        <v>444111</v>
      </c>
      <c r="M2025" t="s">
        <v>1683</v>
      </c>
    </row>
    <row r="2026" spans="12:13">
      <c r="L2026" s="69">
        <v>444200</v>
      </c>
      <c r="M2026" t="s">
        <v>1684</v>
      </c>
    </row>
    <row r="2027" spans="12:13">
      <c r="L2027" s="69">
        <v>444210</v>
      </c>
      <c r="M2027" t="s">
        <v>1684</v>
      </c>
    </row>
    <row r="2028" spans="12:13">
      <c r="L2028" s="69">
        <v>444211</v>
      </c>
      <c r="M2028" t="s">
        <v>1684</v>
      </c>
    </row>
    <row r="2029" spans="12:13">
      <c r="L2029" s="69">
        <v>444212</v>
      </c>
      <c r="M2029" t="s">
        <v>1685</v>
      </c>
    </row>
    <row r="2030" spans="12:13">
      <c r="L2030" s="69">
        <v>444219</v>
      </c>
      <c r="M2030" t="s">
        <v>1686</v>
      </c>
    </row>
    <row r="2031" spans="12:13">
      <c r="L2031" s="69">
        <v>444300</v>
      </c>
      <c r="M2031" t="s">
        <v>1687</v>
      </c>
    </row>
    <row r="2032" spans="12:13">
      <c r="L2032" s="69">
        <v>444310</v>
      </c>
      <c r="M2032" t="s">
        <v>1687</v>
      </c>
    </row>
    <row r="2033" spans="12:13">
      <c r="L2033" s="69">
        <v>444311</v>
      </c>
      <c r="M2033" t="s">
        <v>1687</v>
      </c>
    </row>
    <row r="2034" spans="12:13">
      <c r="L2034" s="69">
        <v>450000</v>
      </c>
      <c r="M2034" t="s">
        <v>1688</v>
      </c>
    </row>
    <row r="2035" spans="12:13">
      <c r="L2035" s="69">
        <v>451000</v>
      </c>
      <c r="M2035" t="s">
        <v>1689</v>
      </c>
    </row>
    <row r="2036" spans="12:13">
      <c r="L2036" s="69">
        <v>451100</v>
      </c>
      <c r="M2036" t="s">
        <v>1690</v>
      </c>
    </row>
    <row r="2037" spans="12:13">
      <c r="L2037" s="69">
        <v>451110</v>
      </c>
      <c r="M2037" t="s">
        <v>1691</v>
      </c>
    </row>
    <row r="2038" spans="12:13">
      <c r="L2038" s="69">
        <v>451111</v>
      </c>
      <c r="M2038" t="s">
        <v>1691</v>
      </c>
    </row>
    <row r="2039" spans="12:13">
      <c r="L2039" s="69">
        <v>451120</v>
      </c>
      <c r="M2039" t="s">
        <v>1692</v>
      </c>
    </row>
    <row r="2040" spans="12:13">
      <c r="L2040" s="69">
        <v>451121</v>
      </c>
      <c r="M2040" t="s">
        <v>1693</v>
      </c>
    </row>
    <row r="2041" spans="12:13">
      <c r="L2041" s="69">
        <v>451122</v>
      </c>
      <c r="M2041" t="s">
        <v>1694</v>
      </c>
    </row>
    <row r="2042" spans="12:13">
      <c r="L2042" s="69">
        <v>451129</v>
      </c>
      <c r="M2042" t="s">
        <v>1695</v>
      </c>
    </row>
    <row r="2043" spans="12:13">
      <c r="L2043" s="69">
        <v>451130</v>
      </c>
      <c r="M2043" t="s">
        <v>1696</v>
      </c>
    </row>
    <row r="2044" spans="12:13">
      <c r="L2044" s="69">
        <v>451131</v>
      </c>
      <c r="M2044" t="s">
        <v>1696</v>
      </c>
    </row>
    <row r="2045" spans="12:13">
      <c r="L2045" s="69">
        <v>451140</v>
      </c>
      <c r="M2045" t="s">
        <v>1697</v>
      </c>
    </row>
    <row r="2046" spans="12:13">
      <c r="L2046" s="69">
        <v>451141</v>
      </c>
      <c r="M2046" t="s">
        <v>1697</v>
      </c>
    </row>
    <row r="2047" spans="12:13">
      <c r="L2047" s="69">
        <v>451190</v>
      </c>
      <c r="M2047" t="s">
        <v>1698</v>
      </c>
    </row>
    <row r="2048" spans="12:13">
      <c r="L2048" s="69">
        <v>451191</v>
      </c>
      <c r="M2048" t="s">
        <v>1698</v>
      </c>
    </row>
    <row r="2049" spans="12:13">
      <c r="L2049" s="69">
        <v>451200</v>
      </c>
      <c r="M2049" t="s">
        <v>1699</v>
      </c>
    </row>
    <row r="2050" spans="12:13">
      <c r="L2050" s="69">
        <v>451210</v>
      </c>
      <c r="M2050" t="s">
        <v>1700</v>
      </c>
    </row>
    <row r="2051" spans="12:13">
      <c r="L2051" s="69">
        <v>451211</v>
      </c>
      <c r="M2051" t="s">
        <v>1700</v>
      </c>
    </row>
    <row r="2052" spans="12:13">
      <c r="L2052" s="69">
        <v>451220</v>
      </c>
      <c r="M2052" t="s">
        <v>1701</v>
      </c>
    </row>
    <row r="2053" spans="12:13">
      <c r="L2053" s="69">
        <v>451221</v>
      </c>
      <c r="M2053" t="s">
        <v>1702</v>
      </c>
    </row>
    <row r="2054" spans="12:13">
      <c r="L2054" s="69">
        <v>451230</v>
      </c>
      <c r="M2054" t="s">
        <v>1703</v>
      </c>
    </row>
    <row r="2055" spans="12:13">
      <c r="L2055" s="69">
        <v>451231</v>
      </c>
      <c r="M2055" t="s">
        <v>1703</v>
      </c>
    </row>
    <row r="2056" spans="12:13">
      <c r="L2056" s="69">
        <v>451240</v>
      </c>
      <c r="M2056" t="s">
        <v>1704</v>
      </c>
    </row>
    <row r="2057" spans="12:13">
      <c r="L2057" s="69">
        <v>451241</v>
      </c>
      <c r="M2057" t="s">
        <v>1704</v>
      </c>
    </row>
    <row r="2058" spans="12:13">
      <c r="L2058" s="69">
        <v>451290</v>
      </c>
      <c r="M2058" t="s">
        <v>1705</v>
      </c>
    </row>
    <row r="2059" spans="12:13">
      <c r="L2059" s="69">
        <v>451291</v>
      </c>
      <c r="M2059" t="s">
        <v>1705</v>
      </c>
    </row>
    <row r="2060" spans="12:13">
      <c r="L2060" s="69">
        <v>452000</v>
      </c>
      <c r="M2060" t="s">
        <v>1706</v>
      </c>
    </row>
    <row r="2061" spans="12:13">
      <c r="L2061" s="69">
        <v>452100</v>
      </c>
      <c r="M2061" t="s">
        <v>1707</v>
      </c>
    </row>
    <row r="2062" spans="12:13">
      <c r="L2062" s="69">
        <v>452110</v>
      </c>
      <c r="M2062" t="s">
        <v>1708</v>
      </c>
    </row>
    <row r="2063" spans="12:13">
      <c r="L2063" s="69">
        <v>452111</v>
      </c>
      <c r="M2063" t="s">
        <v>1708</v>
      </c>
    </row>
    <row r="2064" spans="12:13">
      <c r="L2064" s="69">
        <v>452190</v>
      </c>
      <c r="M2064" t="s">
        <v>1709</v>
      </c>
    </row>
    <row r="2065" spans="12:13">
      <c r="L2065" s="69">
        <v>452191</v>
      </c>
      <c r="M2065" t="s">
        <v>1709</v>
      </c>
    </row>
    <row r="2066" spans="12:13">
      <c r="L2066" s="69">
        <v>452200</v>
      </c>
      <c r="M2066" t="s">
        <v>1710</v>
      </c>
    </row>
    <row r="2067" spans="12:13">
      <c r="L2067" s="69">
        <v>452210</v>
      </c>
      <c r="M2067" t="s">
        <v>1711</v>
      </c>
    </row>
    <row r="2068" spans="12:13">
      <c r="L2068" s="69">
        <v>452211</v>
      </c>
      <c r="M2068" t="s">
        <v>1711</v>
      </c>
    </row>
    <row r="2069" spans="12:13">
      <c r="L2069" s="69">
        <v>452290</v>
      </c>
      <c r="M2069" t="s">
        <v>1712</v>
      </c>
    </row>
    <row r="2070" spans="12:13">
      <c r="L2070" s="69">
        <v>452291</v>
      </c>
      <c r="M2070" t="s">
        <v>1712</v>
      </c>
    </row>
    <row r="2071" spans="12:13">
      <c r="L2071" s="69">
        <v>453000</v>
      </c>
      <c r="M2071" t="s">
        <v>1713</v>
      </c>
    </row>
    <row r="2072" spans="12:13">
      <c r="L2072" s="69">
        <v>453100</v>
      </c>
      <c r="M2072" t="s">
        <v>1714</v>
      </c>
    </row>
    <row r="2073" spans="12:13">
      <c r="L2073" s="69">
        <v>453110</v>
      </c>
      <c r="M2073" t="s">
        <v>1715</v>
      </c>
    </row>
    <row r="2074" spans="12:13">
      <c r="L2074" s="69">
        <v>453111</v>
      </c>
      <c r="M2074" t="s">
        <v>1716</v>
      </c>
    </row>
    <row r="2075" spans="12:13">
      <c r="L2075" s="69">
        <v>453190</v>
      </c>
      <c r="M2075" t="s">
        <v>1717</v>
      </c>
    </row>
    <row r="2076" spans="12:13">
      <c r="L2076" s="69">
        <v>453191</v>
      </c>
      <c r="M2076" t="s">
        <v>1717</v>
      </c>
    </row>
    <row r="2077" spans="12:13">
      <c r="L2077" s="69">
        <v>453200</v>
      </c>
      <c r="M2077" t="s">
        <v>1718</v>
      </c>
    </row>
    <row r="2078" spans="12:13">
      <c r="L2078" s="69">
        <v>453210</v>
      </c>
      <c r="M2078" t="s">
        <v>1719</v>
      </c>
    </row>
    <row r="2079" spans="12:13">
      <c r="L2079" s="69">
        <v>453211</v>
      </c>
      <c r="M2079" t="s">
        <v>1719</v>
      </c>
    </row>
    <row r="2080" spans="12:13">
      <c r="L2080" s="69">
        <v>453290</v>
      </c>
      <c r="M2080" t="s">
        <v>1720</v>
      </c>
    </row>
    <row r="2081" spans="12:13">
      <c r="L2081" s="69">
        <v>453291</v>
      </c>
      <c r="M2081" t="s">
        <v>1720</v>
      </c>
    </row>
    <row r="2082" spans="12:13">
      <c r="L2082" s="69">
        <v>454000</v>
      </c>
      <c r="M2082" t="s">
        <v>1721</v>
      </c>
    </row>
    <row r="2083" spans="12:13">
      <c r="L2083" s="69">
        <v>454100</v>
      </c>
      <c r="M2083" t="s">
        <v>1722</v>
      </c>
    </row>
    <row r="2084" spans="12:13">
      <c r="L2084" s="69">
        <v>454110</v>
      </c>
      <c r="M2084" t="s">
        <v>1722</v>
      </c>
    </row>
    <row r="2085" spans="12:13">
      <c r="L2085" s="69">
        <v>454111</v>
      </c>
      <c r="M2085" t="s">
        <v>1722</v>
      </c>
    </row>
    <row r="2086" spans="12:13">
      <c r="L2086" s="69">
        <v>454200</v>
      </c>
      <c r="M2086" t="s">
        <v>1723</v>
      </c>
    </row>
    <row r="2087" spans="12:13">
      <c r="L2087" s="69">
        <v>454210</v>
      </c>
      <c r="M2087" t="s">
        <v>1723</v>
      </c>
    </row>
    <row r="2088" spans="12:13">
      <c r="L2088" s="69">
        <v>454211</v>
      </c>
      <c r="M2088" t="s">
        <v>1723</v>
      </c>
    </row>
    <row r="2089" spans="12:13">
      <c r="L2089" s="69">
        <v>460000</v>
      </c>
      <c r="M2089" t="s">
        <v>1724</v>
      </c>
    </row>
    <row r="2090" spans="12:13">
      <c r="L2090" s="69">
        <v>461000</v>
      </c>
      <c r="M2090" t="s">
        <v>1725</v>
      </c>
    </row>
    <row r="2091" spans="12:13">
      <c r="L2091" s="69">
        <v>461100</v>
      </c>
      <c r="M2091" t="s">
        <v>1726</v>
      </c>
    </row>
    <row r="2092" spans="12:13">
      <c r="L2092" s="69">
        <v>461110</v>
      </c>
      <c r="M2092" t="s">
        <v>1726</v>
      </c>
    </row>
    <row r="2093" spans="12:13">
      <c r="L2093" s="69">
        <v>461111</v>
      </c>
      <c r="M2093" t="s">
        <v>1726</v>
      </c>
    </row>
    <row r="2094" spans="12:13">
      <c r="L2094" s="69">
        <v>461200</v>
      </c>
      <c r="M2094" t="s">
        <v>1727</v>
      </c>
    </row>
    <row r="2095" spans="12:13">
      <c r="L2095" s="69">
        <v>461210</v>
      </c>
      <c r="M2095" t="s">
        <v>1727</v>
      </c>
    </row>
    <row r="2096" spans="12:13">
      <c r="L2096" s="69">
        <v>461211</v>
      </c>
      <c r="M2096" t="s">
        <v>1727</v>
      </c>
    </row>
    <row r="2097" spans="12:13">
      <c r="L2097" s="69">
        <v>462000</v>
      </c>
      <c r="M2097" t="s">
        <v>1728</v>
      </c>
    </row>
    <row r="2098" spans="12:13">
      <c r="L2098" s="69">
        <v>462100</v>
      </c>
      <c r="M2098" t="s">
        <v>1729</v>
      </c>
    </row>
    <row r="2099" spans="12:13">
      <c r="L2099" s="69">
        <v>462110</v>
      </c>
      <c r="M2099" t="s">
        <v>1730</v>
      </c>
    </row>
    <row r="2100" spans="12:13">
      <c r="L2100" s="69">
        <v>462111</v>
      </c>
      <c r="M2100" t="s">
        <v>1730</v>
      </c>
    </row>
    <row r="2101" spans="12:13">
      <c r="L2101" s="69">
        <v>462120</v>
      </c>
      <c r="M2101" t="s">
        <v>1731</v>
      </c>
    </row>
    <row r="2102" spans="12:13">
      <c r="L2102" s="69">
        <v>462121</v>
      </c>
      <c r="M2102" t="s">
        <v>1731</v>
      </c>
    </row>
    <row r="2103" spans="12:13">
      <c r="L2103" s="69">
        <v>462190</v>
      </c>
      <c r="M2103" t="s">
        <v>1732</v>
      </c>
    </row>
    <row r="2104" spans="12:13">
      <c r="L2104" s="69">
        <v>462191</v>
      </c>
      <c r="M2104" t="s">
        <v>1733</v>
      </c>
    </row>
    <row r="2105" spans="12:13">
      <c r="L2105" s="69">
        <v>462200</v>
      </c>
      <c r="M2105" t="s">
        <v>1734</v>
      </c>
    </row>
    <row r="2106" spans="12:13">
      <c r="L2106" s="69">
        <v>462210</v>
      </c>
      <c r="M2106" t="s">
        <v>1735</v>
      </c>
    </row>
    <row r="2107" spans="12:13">
      <c r="L2107" s="69">
        <v>462211</v>
      </c>
      <c r="M2107" t="s">
        <v>1735</v>
      </c>
    </row>
    <row r="2108" spans="12:13">
      <c r="L2108" s="69">
        <v>462290</v>
      </c>
      <c r="M2108" t="s">
        <v>1736</v>
      </c>
    </row>
    <row r="2109" spans="12:13">
      <c r="L2109" s="69">
        <v>462291</v>
      </c>
      <c r="M2109" t="s">
        <v>1736</v>
      </c>
    </row>
    <row r="2110" spans="12:13">
      <c r="L2110" s="69">
        <v>463000</v>
      </c>
      <c r="M2110" t="s">
        <v>1737</v>
      </c>
    </row>
    <row r="2111" spans="12:13">
      <c r="L2111" s="69">
        <v>463100</v>
      </c>
      <c r="M2111" t="s">
        <v>1738</v>
      </c>
    </row>
    <row r="2112" spans="12:13">
      <c r="L2112" s="69">
        <v>463110</v>
      </c>
      <c r="M2112" t="s">
        <v>1739</v>
      </c>
    </row>
    <row r="2113" spans="12:13">
      <c r="L2113" s="69">
        <v>463111</v>
      </c>
      <c r="M2113" t="s">
        <v>1739</v>
      </c>
    </row>
    <row r="2114" spans="12:13">
      <c r="L2114" s="69">
        <v>463120</v>
      </c>
      <c r="M2114" t="s">
        <v>1740</v>
      </c>
    </row>
    <row r="2115" spans="12:13">
      <c r="L2115" s="69">
        <v>463121</v>
      </c>
      <c r="M2115" t="s">
        <v>1741</v>
      </c>
    </row>
    <row r="2116" spans="12:13">
      <c r="L2116" s="69">
        <v>463122</v>
      </c>
      <c r="M2116" t="s">
        <v>1742</v>
      </c>
    </row>
    <row r="2117" spans="12:13">
      <c r="L2117" s="69">
        <v>463130</v>
      </c>
      <c r="M2117" t="s">
        <v>1743</v>
      </c>
    </row>
    <row r="2118" spans="12:13">
      <c r="L2118" s="69">
        <v>463131</v>
      </c>
      <c r="M2118" t="s">
        <v>1743</v>
      </c>
    </row>
    <row r="2119" spans="12:13">
      <c r="L2119" s="69">
        <v>463132</v>
      </c>
      <c r="M2119" t="s">
        <v>1744</v>
      </c>
    </row>
    <row r="2120" spans="12:13">
      <c r="L2120" s="69">
        <v>463133</v>
      </c>
      <c r="M2120" t="s">
        <v>1745</v>
      </c>
    </row>
    <row r="2121" spans="12:13">
      <c r="L2121" s="69">
        <v>463140</v>
      </c>
      <c r="M2121" t="s">
        <v>1746</v>
      </c>
    </row>
    <row r="2122" spans="12:13">
      <c r="L2122" s="69">
        <v>463141</v>
      </c>
      <c r="M2122" t="s">
        <v>1746</v>
      </c>
    </row>
    <row r="2123" spans="12:13">
      <c r="L2123" s="69">
        <v>463142</v>
      </c>
      <c r="M2123" t="s">
        <v>1747</v>
      </c>
    </row>
    <row r="2124" spans="12:13">
      <c r="L2124" s="69">
        <v>463143</v>
      </c>
      <c r="M2124" t="s">
        <v>1748</v>
      </c>
    </row>
    <row r="2125" spans="12:13">
      <c r="L2125" s="69">
        <v>463200</v>
      </c>
      <c r="M2125" t="s">
        <v>1749</v>
      </c>
    </row>
    <row r="2126" spans="12:13">
      <c r="L2126" s="69">
        <v>463210</v>
      </c>
      <c r="M2126" t="s">
        <v>1750</v>
      </c>
    </row>
    <row r="2127" spans="12:13">
      <c r="L2127" s="69">
        <v>463211</v>
      </c>
      <c r="M2127" t="s">
        <v>1750</v>
      </c>
    </row>
    <row r="2128" spans="12:13">
      <c r="L2128" s="69">
        <v>463220</v>
      </c>
      <c r="M2128" t="s">
        <v>1751</v>
      </c>
    </row>
    <row r="2129" spans="12:13">
      <c r="L2129" s="69">
        <v>463221</v>
      </c>
      <c r="M2129" t="s">
        <v>1752</v>
      </c>
    </row>
    <row r="2130" spans="12:13">
      <c r="L2130" s="69">
        <v>463222</v>
      </c>
      <c r="M2130" t="s">
        <v>1753</v>
      </c>
    </row>
    <row r="2131" spans="12:13">
      <c r="L2131" s="69">
        <v>463230</v>
      </c>
      <c r="M2131" t="s">
        <v>1754</v>
      </c>
    </row>
    <row r="2132" spans="12:13">
      <c r="L2132" s="69">
        <v>463231</v>
      </c>
      <c r="M2132" t="s">
        <v>1754</v>
      </c>
    </row>
    <row r="2133" spans="12:13">
      <c r="L2133" s="69">
        <v>463240</v>
      </c>
      <c r="M2133" t="s">
        <v>1755</v>
      </c>
    </row>
    <row r="2134" spans="12:13">
      <c r="L2134" s="69">
        <v>463241</v>
      </c>
      <c r="M2134" t="s">
        <v>1755</v>
      </c>
    </row>
    <row r="2135" spans="12:13">
      <c r="L2135" s="69">
        <v>464000</v>
      </c>
      <c r="M2135" t="s">
        <v>1756</v>
      </c>
    </row>
    <row r="2136" spans="12:13">
      <c r="L2136" s="69">
        <v>464100</v>
      </c>
      <c r="M2136" t="s">
        <v>1757</v>
      </c>
    </row>
    <row r="2137" spans="12:13">
      <c r="L2137" s="69">
        <v>464110</v>
      </c>
      <c r="M2137" t="s">
        <v>1758</v>
      </c>
    </row>
    <row r="2138" spans="12:13">
      <c r="L2138" s="69">
        <v>464111</v>
      </c>
      <c r="M2138" t="s">
        <v>1758</v>
      </c>
    </row>
    <row r="2139" spans="12:13">
      <c r="L2139" s="69">
        <v>464112</v>
      </c>
      <c r="M2139" t="s">
        <v>1759</v>
      </c>
    </row>
    <row r="2140" spans="12:13">
      <c r="L2140" s="69">
        <v>464113</v>
      </c>
      <c r="M2140" t="s">
        <v>1760</v>
      </c>
    </row>
    <row r="2141" spans="12:13">
      <c r="L2141" s="69">
        <v>464120</v>
      </c>
      <c r="M2141" t="s">
        <v>1761</v>
      </c>
    </row>
    <row r="2142" spans="12:13">
      <c r="L2142" s="69">
        <v>464121</v>
      </c>
      <c r="M2142" t="s">
        <v>1762</v>
      </c>
    </row>
    <row r="2143" spans="12:13">
      <c r="L2143" s="69">
        <v>464130</v>
      </c>
      <c r="M2143" t="s">
        <v>1763</v>
      </c>
    </row>
    <row r="2144" spans="12:13">
      <c r="L2144" s="69">
        <v>464131</v>
      </c>
      <c r="M2144" t="s">
        <v>1764</v>
      </c>
    </row>
    <row r="2145" spans="12:13">
      <c r="L2145" s="69">
        <v>464140</v>
      </c>
      <c r="M2145" t="s">
        <v>1765</v>
      </c>
    </row>
    <row r="2146" spans="12:13">
      <c r="L2146" s="69">
        <v>464141</v>
      </c>
      <c r="M2146" t="s">
        <v>1766</v>
      </c>
    </row>
    <row r="2147" spans="12:13">
      <c r="L2147" s="69">
        <v>464150</v>
      </c>
      <c r="M2147" t="s">
        <v>1767</v>
      </c>
    </row>
    <row r="2148" spans="12:13">
      <c r="L2148" s="69">
        <v>464151</v>
      </c>
      <c r="M2148" t="s">
        <v>1767</v>
      </c>
    </row>
    <row r="2149" spans="12:13">
      <c r="L2149" s="69">
        <v>464200</v>
      </c>
      <c r="M2149" t="s">
        <v>1768</v>
      </c>
    </row>
    <row r="2150" spans="12:13">
      <c r="L2150" s="69">
        <v>464210</v>
      </c>
      <c r="M2150" t="s">
        <v>1769</v>
      </c>
    </row>
    <row r="2151" spans="12:13">
      <c r="L2151" s="69">
        <v>464211</v>
      </c>
      <c r="M2151" t="s">
        <v>1769</v>
      </c>
    </row>
    <row r="2152" spans="12:13">
      <c r="L2152" s="69">
        <v>464212</v>
      </c>
      <c r="M2152" t="s">
        <v>1770</v>
      </c>
    </row>
    <row r="2153" spans="12:13">
      <c r="L2153" s="69">
        <v>464213</v>
      </c>
      <c r="M2153" t="s">
        <v>1771</v>
      </c>
    </row>
    <row r="2154" spans="12:13">
      <c r="L2154" s="69">
        <v>464220</v>
      </c>
      <c r="M2154" t="s">
        <v>1772</v>
      </c>
    </row>
    <row r="2155" spans="12:13">
      <c r="L2155" s="69">
        <v>464221</v>
      </c>
      <c r="M2155" t="s">
        <v>1772</v>
      </c>
    </row>
    <row r="2156" spans="12:13">
      <c r="L2156" s="69">
        <v>464250</v>
      </c>
      <c r="M2156" t="s">
        <v>1773</v>
      </c>
    </row>
    <row r="2157" spans="12:13">
      <c r="L2157" s="69">
        <v>464251</v>
      </c>
      <c r="M2157" t="s">
        <v>1773</v>
      </c>
    </row>
    <row r="2158" spans="12:13">
      <c r="L2158" s="69">
        <v>465000</v>
      </c>
      <c r="M2158" t="s">
        <v>1774</v>
      </c>
    </row>
    <row r="2159" spans="12:13">
      <c r="L2159" s="69">
        <v>465100</v>
      </c>
      <c r="M2159" t="s">
        <v>1775</v>
      </c>
    </row>
    <row r="2160" spans="12:13">
      <c r="L2160" s="69">
        <v>465110</v>
      </c>
      <c r="M2160" t="s">
        <v>1775</v>
      </c>
    </row>
    <row r="2161" spans="12:13">
      <c r="L2161" s="69">
        <v>465111</v>
      </c>
      <c r="M2161" t="s">
        <v>1775</v>
      </c>
    </row>
    <row r="2162" spans="12:13">
      <c r="L2162" s="69">
        <v>465112</v>
      </c>
      <c r="M2162" t="s">
        <v>1776</v>
      </c>
    </row>
    <row r="2163" spans="12:13">
      <c r="L2163" s="69">
        <v>465200</v>
      </c>
      <c r="M2163" t="s">
        <v>1777</v>
      </c>
    </row>
    <row r="2164" spans="12:13">
      <c r="L2164" s="69">
        <v>465210</v>
      </c>
      <c r="M2164" t="s">
        <v>1777</v>
      </c>
    </row>
    <row r="2165" spans="12:13">
      <c r="L2165" s="69">
        <v>465211</v>
      </c>
      <c r="M2165" t="s">
        <v>1777</v>
      </c>
    </row>
    <row r="2166" spans="12:13">
      <c r="L2166" s="69">
        <v>470000</v>
      </c>
      <c r="M2166" t="s">
        <v>1778</v>
      </c>
    </row>
    <row r="2167" spans="12:13">
      <c r="L2167" s="69">
        <v>471000</v>
      </c>
      <c r="M2167" t="s">
        <v>1779</v>
      </c>
    </row>
    <row r="2168" spans="12:13">
      <c r="L2168" s="69">
        <v>471100</v>
      </c>
      <c r="M2168" t="s">
        <v>1780</v>
      </c>
    </row>
    <row r="2169" spans="12:13">
      <c r="L2169" s="69">
        <v>471110</v>
      </c>
      <c r="M2169" t="s">
        <v>1781</v>
      </c>
    </row>
    <row r="2170" spans="12:13">
      <c r="L2170" s="69">
        <v>471111</v>
      </c>
      <c r="M2170" t="s">
        <v>1782</v>
      </c>
    </row>
    <row r="2171" spans="12:13">
      <c r="L2171" s="69">
        <v>471112</v>
      </c>
      <c r="M2171" t="s">
        <v>1783</v>
      </c>
    </row>
    <row r="2172" spans="12:13">
      <c r="L2172" s="69">
        <v>471113</v>
      </c>
      <c r="M2172" t="s">
        <v>1784</v>
      </c>
    </row>
    <row r="2173" spans="12:13">
      <c r="L2173" s="69">
        <v>471114</v>
      </c>
      <c r="M2173" t="s">
        <v>1785</v>
      </c>
    </row>
    <row r="2174" spans="12:13">
      <c r="L2174" s="69">
        <v>471120</v>
      </c>
      <c r="M2174" t="s">
        <v>1786</v>
      </c>
    </row>
    <row r="2175" spans="12:13">
      <c r="L2175" s="69">
        <v>471121</v>
      </c>
      <c r="M2175" t="s">
        <v>1787</v>
      </c>
    </row>
    <row r="2176" spans="12:13">
      <c r="L2176" s="69">
        <v>471122</v>
      </c>
      <c r="M2176" t="s">
        <v>1788</v>
      </c>
    </row>
    <row r="2177" spans="12:13">
      <c r="L2177" s="69">
        <v>471123</v>
      </c>
      <c r="M2177" t="s">
        <v>1789</v>
      </c>
    </row>
    <row r="2178" spans="12:13">
      <c r="L2178" s="69">
        <v>471124</v>
      </c>
      <c r="M2178" t="s">
        <v>1790</v>
      </c>
    </row>
    <row r="2179" spans="12:13">
      <c r="L2179" s="69">
        <v>471125</v>
      </c>
      <c r="M2179" t="s">
        <v>1791</v>
      </c>
    </row>
    <row r="2180" spans="12:13">
      <c r="L2180" s="69">
        <v>471129</v>
      </c>
      <c r="M2180" t="s">
        <v>1792</v>
      </c>
    </row>
    <row r="2181" spans="12:13">
      <c r="L2181" s="69">
        <v>471130</v>
      </c>
      <c r="M2181" t="s">
        <v>1793</v>
      </c>
    </row>
    <row r="2182" spans="12:13">
      <c r="L2182" s="69">
        <v>471131</v>
      </c>
      <c r="M2182" t="s">
        <v>1794</v>
      </c>
    </row>
    <row r="2183" spans="12:13">
      <c r="L2183" s="69">
        <v>471132</v>
      </c>
      <c r="M2183" t="s">
        <v>1795</v>
      </c>
    </row>
    <row r="2184" spans="12:13">
      <c r="L2184" s="69">
        <v>471133</v>
      </c>
      <c r="M2184" t="s">
        <v>1796</v>
      </c>
    </row>
    <row r="2185" spans="12:13">
      <c r="L2185" s="69">
        <v>471134</v>
      </c>
      <c r="M2185" t="s">
        <v>1797</v>
      </c>
    </row>
    <row r="2186" spans="12:13">
      <c r="L2186" s="69">
        <v>471135</v>
      </c>
      <c r="M2186" t="s">
        <v>1798</v>
      </c>
    </row>
    <row r="2187" spans="12:13">
      <c r="L2187" s="69">
        <v>471136</v>
      </c>
      <c r="M2187" t="s">
        <v>1799</v>
      </c>
    </row>
    <row r="2188" spans="12:13">
      <c r="L2188" s="69">
        <v>471137</v>
      </c>
      <c r="M2188" t="s">
        <v>1800</v>
      </c>
    </row>
    <row r="2189" spans="12:13">
      <c r="L2189" s="69">
        <v>471139</v>
      </c>
      <c r="M2189" t="s">
        <v>1801</v>
      </c>
    </row>
    <row r="2190" spans="12:13">
      <c r="L2190" s="69">
        <v>471140</v>
      </c>
      <c r="M2190" t="s">
        <v>1802</v>
      </c>
    </row>
    <row r="2191" spans="12:13">
      <c r="L2191" s="69">
        <v>471141</v>
      </c>
      <c r="M2191" t="s">
        <v>1803</v>
      </c>
    </row>
    <row r="2192" spans="12:13">
      <c r="L2192" s="69">
        <v>471142</v>
      </c>
      <c r="M2192" t="s">
        <v>1804</v>
      </c>
    </row>
    <row r="2193" spans="12:13">
      <c r="L2193" s="69">
        <v>471143</v>
      </c>
      <c r="M2193" t="s">
        <v>1805</v>
      </c>
    </row>
    <row r="2194" spans="12:13">
      <c r="L2194" s="69">
        <v>471144</v>
      </c>
      <c r="M2194" t="s">
        <v>1806</v>
      </c>
    </row>
    <row r="2195" spans="12:13">
      <c r="L2195" s="69">
        <v>471149</v>
      </c>
      <c r="M2195" t="s">
        <v>1807</v>
      </c>
    </row>
    <row r="2196" spans="12:13">
      <c r="L2196" s="69">
        <v>471190</v>
      </c>
      <c r="M2196" t="s">
        <v>1808</v>
      </c>
    </row>
    <row r="2197" spans="12:13">
      <c r="L2197" s="69">
        <v>471191</v>
      </c>
      <c r="M2197" t="s">
        <v>1809</v>
      </c>
    </row>
    <row r="2198" spans="12:13">
      <c r="L2198" s="69">
        <v>471192</v>
      </c>
      <c r="M2198" t="s">
        <v>1810</v>
      </c>
    </row>
    <row r="2199" spans="12:13">
      <c r="L2199" s="69">
        <v>471193</v>
      </c>
      <c r="M2199" t="s">
        <v>1811</v>
      </c>
    </row>
    <row r="2200" spans="12:13">
      <c r="L2200" s="69">
        <v>471194</v>
      </c>
      <c r="M2200" t="s">
        <v>1812</v>
      </c>
    </row>
    <row r="2201" spans="12:13">
      <c r="L2201" s="69">
        <v>471195</v>
      </c>
      <c r="M2201" t="s">
        <v>1813</v>
      </c>
    </row>
    <row r="2202" spans="12:13">
      <c r="L2202" s="69">
        <v>471199</v>
      </c>
      <c r="M2202" t="s">
        <v>1814</v>
      </c>
    </row>
    <row r="2203" spans="12:13">
      <c r="L2203" s="69">
        <v>471200</v>
      </c>
      <c r="M2203" t="s">
        <v>1815</v>
      </c>
    </row>
    <row r="2204" spans="12:13">
      <c r="L2204" s="69">
        <v>471210</v>
      </c>
      <c r="M2204" t="s">
        <v>1816</v>
      </c>
    </row>
    <row r="2205" spans="12:13">
      <c r="L2205" s="69">
        <v>471211</v>
      </c>
      <c r="M2205" t="s">
        <v>1817</v>
      </c>
    </row>
    <row r="2206" spans="12:13">
      <c r="L2206" s="69">
        <v>471212</v>
      </c>
      <c r="M2206" t="s">
        <v>1818</v>
      </c>
    </row>
    <row r="2207" spans="12:13">
      <c r="L2207" s="69">
        <v>471213</v>
      </c>
      <c r="M2207" t="s">
        <v>1819</v>
      </c>
    </row>
    <row r="2208" spans="12:13">
      <c r="L2208" s="69">
        <v>471214</v>
      </c>
      <c r="M2208" t="s">
        <v>1820</v>
      </c>
    </row>
    <row r="2209" spans="12:13">
      <c r="L2209" s="69">
        <v>471215</v>
      </c>
      <c r="M2209" t="s">
        <v>1821</v>
      </c>
    </row>
    <row r="2210" spans="12:13">
      <c r="L2210" s="69">
        <v>471216</v>
      </c>
      <c r="M2210" t="s">
        <v>1822</v>
      </c>
    </row>
    <row r="2211" spans="12:13">
      <c r="L2211" s="69">
        <v>471217</v>
      </c>
      <c r="M2211" t="s">
        <v>1823</v>
      </c>
    </row>
    <row r="2212" spans="12:13">
      <c r="L2212" s="69">
        <v>471219</v>
      </c>
      <c r="M2212" t="s">
        <v>1824</v>
      </c>
    </row>
    <row r="2213" spans="12:13">
      <c r="L2213" s="69">
        <v>471220</v>
      </c>
      <c r="M2213" t="s">
        <v>1825</v>
      </c>
    </row>
    <row r="2214" spans="12:13">
      <c r="L2214" s="69">
        <v>471221</v>
      </c>
      <c r="M2214" t="s">
        <v>1506</v>
      </c>
    </row>
    <row r="2215" spans="12:13">
      <c r="L2215" s="69">
        <v>471222</v>
      </c>
      <c r="M2215" t="s">
        <v>1826</v>
      </c>
    </row>
    <row r="2216" spans="12:13">
      <c r="L2216" s="69">
        <v>471223</v>
      </c>
      <c r="M2216" t="s">
        <v>1827</v>
      </c>
    </row>
    <row r="2217" spans="12:13">
      <c r="L2217" s="69">
        <v>471224</v>
      </c>
      <c r="M2217" t="s">
        <v>1828</v>
      </c>
    </row>
    <row r="2218" spans="12:13">
      <c r="L2218" s="69">
        <v>471229</v>
      </c>
      <c r="M2218" t="s">
        <v>1829</v>
      </c>
    </row>
    <row r="2219" spans="12:13">
      <c r="L2219" s="69">
        <v>471230</v>
      </c>
      <c r="M2219" t="s">
        <v>1830</v>
      </c>
    </row>
    <row r="2220" spans="12:13">
      <c r="L2220" s="69">
        <v>471231</v>
      </c>
      <c r="M2220" t="s">
        <v>1831</v>
      </c>
    </row>
    <row r="2221" spans="12:13">
      <c r="L2221" s="69">
        <v>471232</v>
      </c>
      <c r="M2221" t="s">
        <v>1832</v>
      </c>
    </row>
    <row r="2222" spans="12:13">
      <c r="L2222" s="69">
        <v>471240</v>
      </c>
      <c r="M2222" t="s">
        <v>1833</v>
      </c>
    </row>
    <row r="2223" spans="12:13">
      <c r="L2223" s="69">
        <v>471241</v>
      </c>
      <c r="M2223" t="s">
        <v>1834</v>
      </c>
    </row>
    <row r="2224" spans="12:13">
      <c r="L2224" s="69">
        <v>471242</v>
      </c>
      <c r="M2224" t="s">
        <v>1835</v>
      </c>
    </row>
    <row r="2225" spans="12:13">
      <c r="L2225" s="69">
        <v>471243</v>
      </c>
      <c r="M2225" t="s">
        <v>1836</v>
      </c>
    </row>
    <row r="2226" spans="12:13">
      <c r="L2226" s="69">
        <v>471250</v>
      </c>
      <c r="M2226" t="s">
        <v>1837</v>
      </c>
    </row>
    <row r="2227" spans="12:13">
      <c r="L2227" s="69">
        <v>471251</v>
      </c>
      <c r="M2227" t="s">
        <v>1838</v>
      </c>
    </row>
    <row r="2228" spans="12:13">
      <c r="L2228" s="69">
        <v>471252</v>
      </c>
      <c r="M2228" t="s">
        <v>1839</v>
      </c>
    </row>
    <row r="2229" spans="12:13">
      <c r="L2229" s="69">
        <v>471253</v>
      </c>
      <c r="M2229" t="s">
        <v>1840</v>
      </c>
    </row>
    <row r="2230" spans="12:13">
      <c r="L2230" s="69">
        <v>471260</v>
      </c>
      <c r="M2230" t="s">
        <v>1841</v>
      </c>
    </row>
    <row r="2231" spans="12:13">
      <c r="L2231" s="69">
        <v>471261</v>
      </c>
      <c r="M2231" t="s">
        <v>1842</v>
      </c>
    </row>
    <row r="2232" spans="12:13">
      <c r="L2232" s="69">
        <v>471262</v>
      </c>
      <c r="M2232" t="s">
        <v>1843</v>
      </c>
    </row>
    <row r="2233" spans="12:13">
      <c r="L2233" s="69">
        <v>471263</v>
      </c>
      <c r="M2233" t="s">
        <v>1844</v>
      </c>
    </row>
    <row r="2234" spans="12:13">
      <c r="L2234" s="69">
        <v>471290</v>
      </c>
      <c r="M2234" t="s">
        <v>1845</v>
      </c>
    </row>
    <row r="2235" spans="12:13">
      <c r="L2235" s="69">
        <v>471291</v>
      </c>
      <c r="M2235" t="s">
        <v>1846</v>
      </c>
    </row>
    <row r="2236" spans="12:13">
      <c r="L2236" s="69">
        <v>471292</v>
      </c>
      <c r="M2236" t="s">
        <v>1813</v>
      </c>
    </row>
    <row r="2237" spans="12:13">
      <c r="L2237" s="69">
        <v>471299</v>
      </c>
      <c r="M2237" t="s">
        <v>1847</v>
      </c>
    </row>
    <row r="2238" spans="12:13">
      <c r="L2238" s="69">
        <v>471900</v>
      </c>
      <c r="M2238" t="s">
        <v>1848</v>
      </c>
    </row>
    <row r="2239" spans="12:13">
      <c r="L2239" s="69">
        <v>471910</v>
      </c>
      <c r="M2239" t="s">
        <v>1849</v>
      </c>
    </row>
    <row r="2240" spans="12:13">
      <c r="L2240" s="69">
        <v>471911</v>
      </c>
      <c r="M2240" t="s">
        <v>1849</v>
      </c>
    </row>
    <row r="2241" spans="12:13">
      <c r="L2241" s="69">
        <v>471912</v>
      </c>
      <c r="M2241" t="s">
        <v>1850</v>
      </c>
    </row>
    <row r="2242" spans="12:13">
      <c r="L2242" s="69">
        <v>471913</v>
      </c>
      <c r="M2242" t="s">
        <v>1851</v>
      </c>
    </row>
    <row r="2243" spans="12:13">
      <c r="L2243" s="69">
        <v>471914</v>
      </c>
      <c r="M2243" t="s">
        <v>1852</v>
      </c>
    </row>
    <row r="2244" spans="12:13">
      <c r="L2244" s="69">
        <v>471915</v>
      </c>
      <c r="M2244" t="s">
        <v>1853</v>
      </c>
    </row>
    <row r="2245" spans="12:13">
      <c r="L2245" s="69">
        <v>471920</v>
      </c>
      <c r="M2245" t="s">
        <v>1854</v>
      </c>
    </row>
    <row r="2246" spans="12:13">
      <c r="L2246" s="69">
        <v>471921</v>
      </c>
      <c r="M2246" t="s">
        <v>1854</v>
      </c>
    </row>
    <row r="2247" spans="12:13">
      <c r="L2247" s="69">
        <v>471922</v>
      </c>
      <c r="M2247" t="s">
        <v>1855</v>
      </c>
    </row>
    <row r="2248" spans="12:13">
      <c r="L2248" s="69">
        <v>471923</v>
      </c>
      <c r="M2248" t="s">
        <v>1856</v>
      </c>
    </row>
    <row r="2249" spans="12:13">
      <c r="L2249" s="69">
        <v>471930</v>
      </c>
      <c r="M2249" t="s">
        <v>1857</v>
      </c>
    </row>
    <row r="2250" spans="12:13">
      <c r="L2250" s="69">
        <v>471931</v>
      </c>
      <c r="M2250" t="s">
        <v>1858</v>
      </c>
    </row>
    <row r="2251" spans="12:13">
      <c r="L2251" s="69">
        <v>471940</v>
      </c>
      <c r="M2251" t="s">
        <v>1859</v>
      </c>
    </row>
    <row r="2252" spans="12:13">
      <c r="L2252" s="69">
        <v>471941</v>
      </c>
      <c r="M2252" t="s">
        <v>1860</v>
      </c>
    </row>
    <row r="2253" spans="12:13">
      <c r="L2253" s="69">
        <v>471942</v>
      </c>
      <c r="M2253" t="s">
        <v>1861</v>
      </c>
    </row>
    <row r="2254" spans="12:13">
      <c r="L2254" s="69">
        <v>471943</v>
      </c>
      <c r="M2254" t="s">
        <v>1862</v>
      </c>
    </row>
    <row r="2255" spans="12:13">
      <c r="L2255" s="69">
        <v>471950</v>
      </c>
      <c r="M2255" t="s">
        <v>1863</v>
      </c>
    </row>
    <row r="2256" spans="12:13">
      <c r="L2256" s="69">
        <v>471951</v>
      </c>
      <c r="M2256" t="s">
        <v>1863</v>
      </c>
    </row>
    <row r="2257" spans="12:13">
      <c r="L2257" s="69">
        <v>472000</v>
      </c>
      <c r="M2257" t="s">
        <v>1864</v>
      </c>
    </row>
    <row r="2258" spans="12:13">
      <c r="L2258" s="69">
        <v>472100</v>
      </c>
      <c r="M2258" t="s">
        <v>1865</v>
      </c>
    </row>
    <row r="2259" spans="12:13">
      <c r="L2259" s="69">
        <v>472110</v>
      </c>
      <c r="M2259" t="s">
        <v>1866</v>
      </c>
    </row>
    <row r="2260" spans="12:13">
      <c r="L2260" s="69">
        <v>472111</v>
      </c>
      <c r="M2260" t="s">
        <v>1866</v>
      </c>
    </row>
    <row r="2261" spans="12:13">
      <c r="L2261" s="69">
        <v>472120</v>
      </c>
      <c r="M2261" t="s">
        <v>1867</v>
      </c>
    </row>
    <row r="2262" spans="12:13">
      <c r="L2262" s="69">
        <v>472121</v>
      </c>
      <c r="M2262" t="s">
        <v>1867</v>
      </c>
    </row>
    <row r="2263" spans="12:13">
      <c r="L2263" s="69">
        <v>472130</v>
      </c>
      <c r="M2263" t="s">
        <v>1868</v>
      </c>
    </row>
    <row r="2264" spans="12:13">
      <c r="L2264" s="69">
        <v>472131</v>
      </c>
      <c r="M2264" t="s">
        <v>1869</v>
      </c>
    </row>
    <row r="2265" spans="12:13">
      <c r="L2265" s="69">
        <v>472132</v>
      </c>
      <c r="M2265" t="s">
        <v>1870</v>
      </c>
    </row>
    <row r="2266" spans="12:13">
      <c r="L2266" s="69">
        <v>472200</v>
      </c>
      <c r="M2266" t="s">
        <v>1871</v>
      </c>
    </row>
    <row r="2267" spans="12:13">
      <c r="L2267" s="69">
        <v>472210</v>
      </c>
      <c r="M2267" t="s">
        <v>1871</v>
      </c>
    </row>
    <row r="2268" spans="12:13">
      <c r="L2268" s="69">
        <v>472211</v>
      </c>
      <c r="M2268" t="s">
        <v>1871</v>
      </c>
    </row>
    <row r="2269" spans="12:13">
      <c r="L2269" s="69">
        <v>472300</v>
      </c>
      <c r="M2269" t="s">
        <v>1872</v>
      </c>
    </row>
    <row r="2270" spans="12:13">
      <c r="L2270" s="69">
        <v>472310</v>
      </c>
      <c r="M2270" t="s">
        <v>1872</v>
      </c>
    </row>
    <row r="2271" spans="12:13">
      <c r="L2271" s="69">
        <v>472311</v>
      </c>
      <c r="M2271" t="s">
        <v>1872</v>
      </c>
    </row>
    <row r="2272" spans="12:13">
      <c r="L2272" s="69">
        <v>472400</v>
      </c>
      <c r="M2272" t="s">
        <v>1873</v>
      </c>
    </row>
    <row r="2273" spans="12:13">
      <c r="L2273" s="69">
        <v>472410</v>
      </c>
      <c r="M2273" t="s">
        <v>1873</v>
      </c>
    </row>
    <row r="2274" spans="12:13">
      <c r="L2274" s="69">
        <v>472411</v>
      </c>
      <c r="M2274" t="s">
        <v>1873</v>
      </c>
    </row>
    <row r="2275" spans="12:13">
      <c r="L2275" s="69">
        <v>472500</v>
      </c>
      <c r="M2275" t="s">
        <v>1874</v>
      </c>
    </row>
    <row r="2276" spans="12:13">
      <c r="L2276" s="69">
        <v>472510</v>
      </c>
      <c r="M2276" t="s">
        <v>1875</v>
      </c>
    </row>
    <row r="2277" spans="12:13">
      <c r="L2277" s="69">
        <v>472511</v>
      </c>
      <c r="M2277" t="s">
        <v>1875</v>
      </c>
    </row>
    <row r="2278" spans="12:13">
      <c r="L2278" s="69">
        <v>472520</v>
      </c>
      <c r="M2278" t="s">
        <v>1876</v>
      </c>
    </row>
    <row r="2279" spans="12:13">
      <c r="L2279" s="69">
        <v>472521</v>
      </c>
      <c r="M2279" t="s">
        <v>1876</v>
      </c>
    </row>
    <row r="2280" spans="12:13">
      <c r="L2280" s="69">
        <v>472600</v>
      </c>
      <c r="M2280" t="s">
        <v>1877</v>
      </c>
    </row>
    <row r="2281" spans="12:13">
      <c r="L2281" s="69">
        <v>472610</v>
      </c>
      <c r="M2281" t="s">
        <v>1877</v>
      </c>
    </row>
    <row r="2282" spans="12:13">
      <c r="L2282" s="69">
        <v>472611</v>
      </c>
      <c r="M2282" t="s">
        <v>1877</v>
      </c>
    </row>
    <row r="2283" spans="12:13">
      <c r="L2283" s="69">
        <v>472700</v>
      </c>
      <c r="M2283" t="s">
        <v>1878</v>
      </c>
    </row>
    <row r="2284" spans="12:13">
      <c r="L2284" s="69">
        <v>472710</v>
      </c>
      <c r="M2284" t="s">
        <v>1879</v>
      </c>
    </row>
    <row r="2285" spans="12:13">
      <c r="L2285" s="69">
        <v>472711</v>
      </c>
      <c r="M2285" t="s">
        <v>1880</v>
      </c>
    </row>
    <row r="2286" spans="12:13">
      <c r="L2286" s="69">
        <v>472712</v>
      </c>
      <c r="M2286" t="s">
        <v>1881</v>
      </c>
    </row>
    <row r="2287" spans="12:13">
      <c r="L2287" s="69">
        <v>472713</v>
      </c>
      <c r="M2287" t="s">
        <v>1882</v>
      </c>
    </row>
    <row r="2288" spans="12:13">
      <c r="L2288" s="69">
        <v>472714</v>
      </c>
      <c r="M2288" t="s">
        <v>1883</v>
      </c>
    </row>
    <row r="2289" spans="12:13">
      <c r="L2289" s="69">
        <v>472715</v>
      </c>
      <c r="M2289" t="s">
        <v>1884</v>
      </c>
    </row>
    <row r="2290" spans="12:13">
      <c r="L2290" s="69">
        <v>472716</v>
      </c>
      <c r="M2290" t="s">
        <v>1885</v>
      </c>
    </row>
    <row r="2291" spans="12:13">
      <c r="L2291" s="69">
        <v>472717</v>
      </c>
      <c r="M2291" t="s">
        <v>1886</v>
      </c>
    </row>
    <row r="2292" spans="12:13">
      <c r="L2292" s="69">
        <v>472718</v>
      </c>
      <c r="M2292" t="s">
        <v>1431</v>
      </c>
    </row>
    <row r="2293" spans="12:13">
      <c r="L2293" s="69">
        <v>472719</v>
      </c>
      <c r="M2293" t="s">
        <v>1887</v>
      </c>
    </row>
    <row r="2294" spans="12:13">
      <c r="L2294" s="69">
        <v>472720</v>
      </c>
      <c r="M2294" t="s">
        <v>1888</v>
      </c>
    </row>
    <row r="2295" spans="12:13">
      <c r="L2295" s="69">
        <v>472721</v>
      </c>
      <c r="M2295" t="s">
        <v>1888</v>
      </c>
    </row>
    <row r="2296" spans="12:13">
      <c r="L2296" s="69">
        <v>472730</v>
      </c>
      <c r="M2296" t="s">
        <v>1889</v>
      </c>
    </row>
    <row r="2297" spans="12:13">
      <c r="L2297" s="69">
        <v>472731</v>
      </c>
      <c r="M2297" t="s">
        <v>1890</v>
      </c>
    </row>
    <row r="2298" spans="12:13">
      <c r="L2298" s="69">
        <v>472732</v>
      </c>
      <c r="M2298" t="s">
        <v>1891</v>
      </c>
    </row>
    <row r="2299" spans="12:13">
      <c r="L2299" s="69">
        <v>472740</v>
      </c>
      <c r="M2299" t="s">
        <v>1892</v>
      </c>
    </row>
    <row r="2300" spans="12:13">
      <c r="L2300" s="69">
        <v>472741</v>
      </c>
      <c r="M2300" t="s">
        <v>1892</v>
      </c>
    </row>
    <row r="2301" spans="12:13">
      <c r="L2301" s="69">
        <v>472742</v>
      </c>
      <c r="M2301" t="s">
        <v>1893</v>
      </c>
    </row>
    <row r="2302" spans="12:13">
      <c r="L2302" s="69">
        <v>472800</v>
      </c>
      <c r="M2302" t="s">
        <v>1894</v>
      </c>
    </row>
    <row r="2303" spans="12:13">
      <c r="L2303" s="69">
        <v>472810</v>
      </c>
      <c r="M2303" t="s">
        <v>1894</v>
      </c>
    </row>
    <row r="2304" spans="12:13">
      <c r="L2304" s="69">
        <v>472811</v>
      </c>
      <c r="M2304" t="s">
        <v>1894</v>
      </c>
    </row>
    <row r="2305" spans="12:13">
      <c r="L2305" s="69">
        <v>472900</v>
      </c>
      <c r="M2305" t="s">
        <v>1895</v>
      </c>
    </row>
    <row r="2306" spans="12:13">
      <c r="L2306" s="69">
        <v>472910</v>
      </c>
      <c r="M2306" t="s">
        <v>1896</v>
      </c>
    </row>
    <row r="2307" spans="12:13">
      <c r="L2307" s="69">
        <v>472911</v>
      </c>
      <c r="M2307" t="s">
        <v>1896</v>
      </c>
    </row>
    <row r="2308" spans="12:13">
      <c r="L2308" s="69">
        <v>472920</v>
      </c>
      <c r="M2308" t="s">
        <v>1897</v>
      </c>
    </row>
    <row r="2309" spans="12:13">
      <c r="L2309" s="69">
        <v>472921</v>
      </c>
      <c r="M2309" t="s">
        <v>1898</v>
      </c>
    </row>
    <row r="2310" spans="12:13">
      <c r="L2310" s="69">
        <v>472922</v>
      </c>
      <c r="M2310" t="s">
        <v>1899</v>
      </c>
    </row>
    <row r="2311" spans="12:13">
      <c r="L2311" s="69">
        <v>472930</v>
      </c>
      <c r="M2311" t="s">
        <v>1806</v>
      </c>
    </row>
    <row r="2312" spans="12:13">
      <c r="L2312" s="69">
        <v>472931</v>
      </c>
      <c r="M2312" t="s">
        <v>1806</v>
      </c>
    </row>
    <row r="2313" spans="12:13">
      <c r="L2313" s="69">
        <v>480000</v>
      </c>
      <c r="M2313" t="s">
        <v>1900</v>
      </c>
    </row>
    <row r="2314" spans="12:13">
      <c r="L2314" s="69">
        <v>481000</v>
      </c>
      <c r="M2314" t="s">
        <v>1901</v>
      </c>
    </row>
    <row r="2315" spans="12:13">
      <c r="L2315" s="69">
        <v>481100</v>
      </c>
      <c r="M2315" t="s">
        <v>1902</v>
      </c>
    </row>
    <row r="2316" spans="12:13">
      <c r="L2316" s="69">
        <v>481110</v>
      </c>
      <c r="M2316" t="s">
        <v>1902</v>
      </c>
    </row>
    <row r="2317" spans="12:13">
      <c r="L2317" s="69">
        <v>481111</v>
      </c>
      <c r="M2317" t="s">
        <v>1903</v>
      </c>
    </row>
    <row r="2318" spans="12:13">
      <c r="L2318" s="69">
        <v>481112</v>
      </c>
      <c r="M2318" t="s">
        <v>1904</v>
      </c>
    </row>
    <row r="2319" spans="12:13">
      <c r="L2319" s="69">
        <v>481113</v>
      </c>
      <c r="M2319" t="s">
        <v>1905</v>
      </c>
    </row>
    <row r="2320" spans="12:13">
      <c r="L2320" s="69">
        <v>481120</v>
      </c>
      <c r="M2320" t="s">
        <v>1906</v>
      </c>
    </row>
    <row r="2321" spans="12:13">
      <c r="L2321" s="69">
        <v>481121</v>
      </c>
      <c r="M2321" t="s">
        <v>1907</v>
      </c>
    </row>
    <row r="2322" spans="12:13">
      <c r="L2322" s="69">
        <v>481130</v>
      </c>
      <c r="M2322" t="s">
        <v>1908</v>
      </c>
    </row>
    <row r="2323" spans="12:13">
      <c r="L2323" s="69">
        <v>481131</v>
      </c>
      <c r="M2323" t="s">
        <v>1908</v>
      </c>
    </row>
    <row r="2324" spans="12:13">
      <c r="L2324" s="69">
        <v>481900</v>
      </c>
      <c r="M2324" t="s">
        <v>1909</v>
      </c>
    </row>
    <row r="2325" spans="12:13">
      <c r="L2325" s="69">
        <v>481910</v>
      </c>
      <c r="M2325" t="s">
        <v>1910</v>
      </c>
    </row>
    <row r="2326" spans="12:13">
      <c r="L2326" s="69">
        <v>481911</v>
      </c>
      <c r="M2326" t="s">
        <v>1910</v>
      </c>
    </row>
    <row r="2327" spans="12:13">
      <c r="L2327" s="69">
        <v>481920</v>
      </c>
      <c r="M2327" t="s">
        <v>1911</v>
      </c>
    </row>
    <row r="2328" spans="12:13">
      <c r="L2328" s="69">
        <v>481921</v>
      </c>
      <c r="M2328" t="s">
        <v>1911</v>
      </c>
    </row>
    <row r="2329" spans="12:13">
      <c r="L2329" s="69">
        <v>481930</v>
      </c>
      <c r="M2329" t="s">
        <v>1912</v>
      </c>
    </row>
    <row r="2330" spans="12:13">
      <c r="L2330" s="69">
        <v>481931</v>
      </c>
      <c r="M2330" t="s">
        <v>1912</v>
      </c>
    </row>
    <row r="2331" spans="12:13">
      <c r="L2331" s="69">
        <v>481940</v>
      </c>
      <c r="M2331" t="s">
        <v>1913</v>
      </c>
    </row>
    <row r="2332" spans="12:13">
      <c r="L2332" s="69">
        <v>481941</v>
      </c>
      <c r="M2332" t="s">
        <v>1914</v>
      </c>
    </row>
    <row r="2333" spans="12:13">
      <c r="L2333" s="69">
        <v>481942</v>
      </c>
      <c r="M2333" t="s">
        <v>1915</v>
      </c>
    </row>
    <row r="2334" spans="12:13">
      <c r="L2334" s="69">
        <v>481950</v>
      </c>
      <c r="M2334" t="s">
        <v>1916</v>
      </c>
    </row>
    <row r="2335" spans="12:13">
      <c r="L2335" s="69">
        <v>481951</v>
      </c>
      <c r="M2335" t="s">
        <v>1916</v>
      </c>
    </row>
    <row r="2336" spans="12:13">
      <c r="L2336" s="69">
        <v>481960</v>
      </c>
      <c r="M2336" t="s">
        <v>1917</v>
      </c>
    </row>
    <row r="2337" spans="12:13">
      <c r="L2337" s="69">
        <v>481961</v>
      </c>
      <c r="M2337" t="s">
        <v>1918</v>
      </c>
    </row>
    <row r="2338" spans="12:13">
      <c r="L2338" s="69">
        <v>481962</v>
      </c>
      <c r="M2338" t="s">
        <v>1919</v>
      </c>
    </row>
    <row r="2339" spans="12:13">
      <c r="L2339" s="69">
        <v>481969</v>
      </c>
      <c r="M2339" t="s">
        <v>1920</v>
      </c>
    </row>
    <row r="2340" spans="12:13">
      <c r="L2340" s="69">
        <v>481990</v>
      </c>
      <c r="M2340" t="s">
        <v>1909</v>
      </c>
    </row>
    <row r="2341" spans="12:13">
      <c r="L2341" s="69">
        <v>481991</v>
      </c>
      <c r="M2341" t="s">
        <v>1909</v>
      </c>
    </row>
    <row r="2342" spans="12:13">
      <c r="L2342" s="69">
        <v>482000</v>
      </c>
      <c r="M2342" t="s">
        <v>1921</v>
      </c>
    </row>
    <row r="2343" spans="12:13">
      <c r="L2343" s="69">
        <v>482100</v>
      </c>
      <c r="M2343" t="s">
        <v>1922</v>
      </c>
    </row>
    <row r="2344" spans="12:13">
      <c r="L2344" s="69">
        <v>482110</v>
      </c>
      <c r="M2344" t="s">
        <v>1923</v>
      </c>
    </row>
    <row r="2345" spans="12:13">
      <c r="L2345" s="69">
        <v>482111</v>
      </c>
      <c r="M2345" t="s">
        <v>1924</v>
      </c>
    </row>
    <row r="2346" spans="12:13">
      <c r="L2346" s="69">
        <v>482112</v>
      </c>
      <c r="M2346" t="s">
        <v>1925</v>
      </c>
    </row>
    <row r="2347" spans="12:13">
      <c r="L2347" s="69">
        <v>482120</v>
      </c>
      <c r="M2347" t="s">
        <v>1926</v>
      </c>
    </row>
    <row r="2348" spans="12:13">
      <c r="L2348" s="69">
        <v>482121</v>
      </c>
      <c r="M2348" t="s">
        <v>1927</v>
      </c>
    </row>
    <row r="2349" spans="12:13">
      <c r="L2349" s="69">
        <v>482122</v>
      </c>
      <c r="M2349" t="s">
        <v>1928</v>
      </c>
    </row>
    <row r="2350" spans="12:13">
      <c r="L2350" s="69">
        <v>482123</v>
      </c>
      <c r="M2350" t="s">
        <v>1929</v>
      </c>
    </row>
    <row r="2351" spans="12:13">
      <c r="L2351" s="69">
        <v>482130</v>
      </c>
      <c r="M2351" t="s">
        <v>1930</v>
      </c>
    </row>
    <row r="2352" spans="12:13">
      <c r="L2352" s="69">
        <v>482131</v>
      </c>
      <c r="M2352" t="s">
        <v>1931</v>
      </c>
    </row>
    <row r="2353" spans="12:13">
      <c r="L2353" s="69">
        <v>482132</v>
      </c>
      <c r="M2353" t="s">
        <v>1932</v>
      </c>
    </row>
    <row r="2354" spans="12:13">
      <c r="L2354" s="69">
        <v>482140</v>
      </c>
      <c r="M2354" t="s">
        <v>1933</v>
      </c>
    </row>
    <row r="2355" spans="12:13">
      <c r="L2355" s="69">
        <v>482141</v>
      </c>
      <c r="M2355" t="s">
        <v>1934</v>
      </c>
    </row>
    <row r="2356" spans="12:13">
      <c r="L2356" s="69">
        <v>482190</v>
      </c>
      <c r="M2356" t="s">
        <v>1922</v>
      </c>
    </row>
    <row r="2357" spans="12:13">
      <c r="L2357" s="69">
        <v>482191</v>
      </c>
      <c r="M2357" t="s">
        <v>1922</v>
      </c>
    </row>
    <row r="2358" spans="12:13">
      <c r="L2358" s="69">
        <v>482200</v>
      </c>
      <c r="M2358" t="s">
        <v>1935</v>
      </c>
    </row>
    <row r="2359" spans="12:13">
      <c r="L2359" s="69">
        <v>482210</v>
      </c>
      <c r="M2359" t="s">
        <v>1129</v>
      </c>
    </row>
    <row r="2360" spans="12:13">
      <c r="L2360" s="69">
        <v>482211</v>
      </c>
      <c r="M2360" t="s">
        <v>1129</v>
      </c>
    </row>
    <row r="2361" spans="12:13">
      <c r="L2361" s="69">
        <v>482220</v>
      </c>
      <c r="M2361" t="s">
        <v>1130</v>
      </c>
    </row>
    <row r="2362" spans="12:13">
      <c r="L2362" s="69">
        <v>482221</v>
      </c>
      <c r="M2362" t="s">
        <v>1130</v>
      </c>
    </row>
    <row r="2363" spans="12:13">
      <c r="L2363" s="69">
        <v>482230</v>
      </c>
      <c r="M2363" t="s">
        <v>1131</v>
      </c>
    </row>
    <row r="2364" spans="12:13">
      <c r="L2364" s="69">
        <v>482231</v>
      </c>
      <c r="M2364" t="s">
        <v>1131</v>
      </c>
    </row>
    <row r="2365" spans="12:13">
      <c r="L2365" s="69">
        <v>482240</v>
      </c>
      <c r="M2365" t="s">
        <v>1132</v>
      </c>
    </row>
    <row r="2366" spans="12:13">
      <c r="L2366" s="69">
        <v>482241</v>
      </c>
      <c r="M2366" t="s">
        <v>1132</v>
      </c>
    </row>
    <row r="2367" spans="12:13">
      <c r="L2367" s="69">
        <v>482250</v>
      </c>
      <c r="M2367" t="s">
        <v>1133</v>
      </c>
    </row>
    <row r="2368" spans="12:13">
      <c r="L2368" s="69">
        <v>482251</v>
      </c>
      <c r="M2368" t="s">
        <v>1133</v>
      </c>
    </row>
    <row r="2369" spans="12:13">
      <c r="L2369" s="69">
        <v>482300</v>
      </c>
      <c r="M2369" t="s">
        <v>1936</v>
      </c>
    </row>
    <row r="2370" spans="12:13">
      <c r="L2370" s="69">
        <v>482310</v>
      </c>
      <c r="M2370" t="s">
        <v>1937</v>
      </c>
    </row>
    <row r="2371" spans="12:13">
      <c r="L2371" s="69">
        <v>482311</v>
      </c>
      <c r="M2371" t="s">
        <v>1135</v>
      </c>
    </row>
    <row r="2372" spans="12:13">
      <c r="L2372" s="69">
        <v>482312</v>
      </c>
      <c r="M2372" t="s">
        <v>1938</v>
      </c>
    </row>
    <row r="2373" spans="12:13">
      <c r="L2373" s="69">
        <v>482320</v>
      </c>
      <c r="M2373" t="s">
        <v>1136</v>
      </c>
    </row>
    <row r="2374" spans="12:13">
      <c r="L2374" s="69">
        <v>482321</v>
      </c>
      <c r="M2374" t="s">
        <v>1136</v>
      </c>
    </row>
    <row r="2375" spans="12:13">
      <c r="L2375" s="69">
        <v>482330</v>
      </c>
      <c r="M2375" t="s">
        <v>1137</v>
      </c>
    </row>
    <row r="2376" spans="12:13">
      <c r="L2376" s="69">
        <v>482331</v>
      </c>
      <c r="M2376" t="s">
        <v>1137</v>
      </c>
    </row>
    <row r="2377" spans="12:13">
      <c r="L2377" s="69">
        <v>482340</v>
      </c>
      <c r="M2377" t="s">
        <v>1138</v>
      </c>
    </row>
    <row r="2378" spans="12:13">
      <c r="L2378" s="69">
        <v>482341</v>
      </c>
      <c r="M2378" t="s">
        <v>1138</v>
      </c>
    </row>
    <row r="2379" spans="12:13">
      <c r="L2379" s="69">
        <v>483000</v>
      </c>
      <c r="M2379" t="s">
        <v>1939</v>
      </c>
    </row>
    <row r="2380" spans="12:13">
      <c r="L2380" s="69">
        <v>483100</v>
      </c>
      <c r="M2380" t="s">
        <v>1939</v>
      </c>
    </row>
    <row r="2381" spans="12:13">
      <c r="L2381" s="69">
        <v>483110</v>
      </c>
      <c r="M2381" t="s">
        <v>1939</v>
      </c>
    </row>
    <row r="2382" spans="12:13">
      <c r="L2382" s="69">
        <v>483111</v>
      </c>
      <c r="M2382" t="s">
        <v>1939</v>
      </c>
    </row>
    <row r="2383" spans="12:13">
      <c r="L2383" s="69">
        <v>484000</v>
      </c>
      <c r="M2383" t="s">
        <v>1940</v>
      </c>
    </row>
    <row r="2384" spans="12:13">
      <c r="L2384" s="69">
        <v>484100</v>
      </c>
      <c r="M2384" t="s">
        <v>1941</v>
      </c>
    </row>
    <row r="2385" spans="12:13">
      <c r="L2385" s="69">
        <v>484110</v>
      </c>
      <c r="M2385" t="s">
        <v>1941</v>
      </c>
    </row>
    <row r="2386" spans="12:13">
      <c r="L2386" s="69">
        <v>484111</v>
      </c>
      <c r="M2386" t="s">
        <v>1941</v>
      </c>
    </row>
    <row r="2387" spans="12:13">
      <c r="L2387" s="69">
        <v>484200</v>
      </c>
      <c r="M2387" t="s">
        <v>1942</v>
      </c>
    </row>
    <row r="2388" spans="12:13">
      <c r="L2388" s="69">
        <v>484210</v>
      </c>
      <c r="M2388" t="s">
        <v>1942</v>
      </c>
    </row>
    <row r="2389" spans="12:13">
      <c r="L2389" s="69">
        <v>484211</v>
      </c>
      <c r="M2389" t="s">
        <v>1942</v>
      </c>
    </row>
    <row r="2390" spans="12:13">
      <c r="L2390" s="69">
        <v>485000</v>
      </c>
      <c r="M2390" t="s">
        <v>1943</v>
      </c>
    </row>
    <row r="2391" spans="12:13">
      <c r="L2391" s="69">
        <v>485100</v>
      </c>
      <c r="M2391" t="s">
        <v>1943</v>
      </c>
    </row>
    <row r="2392" spans="12:13">
      <c r="L2392" s="69">
        <v>485110</v>
      </c>
      <c r="M2392" t="s">
        <v>1943</v>
      </c>
    </row>
    <row r="2393" spans="12:13">
      <c r="L2393" s="69">
        <v>485111</v>
      </c>
      <c r="M2393" t="s">
        <v>1944</v>
      </c>
    </row>
    <row r="2394" spans="12:13">
      <c r="L2394" s="69">
        <v>485119</v>
      </c>
      <c r="M2394" t="s">
        <v>1945</v>
      </c>
    </row>
    <row r="2395" spans="12:13">
      <c r="L2395" s="69">
        <v>489000</v>
      </c>
      <c r="M2395" t="s">
        <v>1946</v>
      </c>
    </row>
    <row r="2396" spans="12:13">
      <c r="L2396" s="69">
        <v>489100</v>
      </c>
      <c r="M2396" t="s">
        <v>1946</v>
      </c>
    </row>
    <row r="2397" spans="12:13">
      <c r="L2397" s="69">
        <v>489110</v>
      </c>
      <c r="M2397" t="s">
        <v>1946</v>
      </c>
    </row>
    <row r="2398" spans="12:13">
      <c r="L2398" s="69">
        <v>489111</v>
      </c>
      <c r="M2398" t="s">
        <v>1946</v>
      </c>
    </row>
    <row r="2399" spans="12:13">
      <c r="L2399" s="69">
        <v>490000</v>
      </c>
      <c r="M2399" t="s">
        <v>1947</v>
      </c>
    </row>
    <row r="2400" spans="12:13">
      <c r="L2400" s="69">
        <v>494000</v>
      </c>
      <c r="M2400" t="s">
        <v>1265</v>
      </c>
    </row>
    <row r="2401" spans="12:13">
      <c r="L2401" s="69">
        <v>494100</v>
      </c>
      <c r="M2401" t="s">
        <v>1266</v>
      </c>
    </row>
    <row r="2402" spans="12:13">
      <c r="L2402" s="69">
        <v>494110</v>
      </c>
      <c r="M2402" t="s">
        <v>1268</v>
      </c>
    </row>
    <row r="2403" spans="12:13">
      <c r="L2403" s="69">
        <v>494111</v>
      </c>
      <c r="M2403" t="s">
        <v>1268</v>
      </c>
    </row>
    <row r="2404" spans="12:13">
      <c r="L2404" s="69">
        <v>494120</v>
      </c>
      <c r="M2404" t="s">
        <v>1287</v>
      </c>
    </row>
    <row r="2405" spans="12:13">
      <c r="L2405" s="69">
        <v>494121</v>
      </c>
      <c r="M2405" t="s">
        <v>1288</v>
      </c>
    </row>
    <row r="2406" spans="12:13">
      <c r="L2406" s="69">
        <v>494122</v>
      </c>
      <c r="M2406" t="s">
        <v>1291</v>
      </c>
    </row>
    <row r="2407" spans="12:13">
      <c r="L2407" s="69">
        <v>494123</v>
      </c>
      <c r="M2407" t="s">
        <v>1948</v>
      </c>
    </row>
    <row r="2408" spans="12:13">
      <c r="L2408" s="69">
        <v>494130</v>
      </c>
      <c r="M2408" t="s">
        <v>1294</v>
      </c>
    </row>
    <row r="2409" spans="12:13">
      <c r="L2409" s="69">
        <v>494131</v>
      </c>
      <c r="M2409" t="s">
        <v>1294</v>
      </c>
    </row>
    <row r="2410" spans="12:13">
      <c r="L2410" s="69">
        <v>494140</v>
      </c>
      <c r="M2410" t="s">
        <v>1309</v>
      </c>
    </row>
    <row r="2411" spans="12:13">
      <c r="L2411" s="69">
        <v>494141</v>
      </c>
      <c r="M2411" t="s">
        <v>1949</v>
      </c>
    </row>
    <row r="2412" spans="12:13">
      <c r="L2412" s="69">
        <v>494142</v>
      </c>
      <c r="M2412" t="s">
        <v>1314</v>
      </c>
    </row>
    <row r="2413" spans="12:13">
      <c r="L2413" s="69">
        <v>494143</v>
      </c>
      <c r="M2413" t="s">
        <v>1315</v>
      </c>
    </row>
    <row r="2414" spans="12:13">
      <c r="L2414" s="69">
        <v>494144</v>
      </c>
      <c r="M2414" t="s">
        <v>1319</v>
      </c>
    </row>
    <row r="2415" spans="12:13">
      <c r="L2415" s="69">
        <v>494150</v>
      </c>
      <c r="M2415" t="s">
        <v>1323</v>
      </c>
    </row>
    <row r="2416" spans="12:13">
      <c r="L2416" s="69">
        <v>494151</v>
      </c>
      <c r="M2416" t="s">
        <v>1323</v>
      </c>
    </row>
    <row r="2417" spans="12:13">
      <c r="L2417" s="69">
        <v>494160</v>
      </c>
      <c r="M2417" t="s">
        <v>1329</v>
      </c>
    </row>
    <row r="2418" spans="12:13">
      <c r="L2418" s="69">
        <v>494161</v>
      </c>
      <c r="M2418" t="s">
        <v>1329</v>
      </c>
    </row>
    <row r="2419" spans="12:13">
      <c r="L2419" s="69">
        <v>494170</v>
      </c>
      <c r="M2419" t="s">
        <v>1339</v>
      </c>
    </row>
    <row r="2420" spans="12:13">
      <c r="L2420" s="69">
        <v>494171</v>
      </c>
      <c r="M2420" t="s">
        <v>1339</v>
      </c>
    </row>
    <row r="2421" spans="12:13">
      <c r="L2421" s="69">
        <v>494180</v>
      </c>
      <c r="M2421" t="s">
        <v>1340</v>
      </c>
    </row>
    <row r="2422" spans="12:13">
      <c r="L2422" s="69">
        <v>494181</v>
      </c>
      <c r="M2422" t="s">
        <v>1340</v>
      </c>
    </row>
    <row r="2423" spans="12:13">
      <c r="L2423" s="69">
        <v>494200</v>
      </c>
      <c r="M2423" t="s">
        <v>1341</v>
      </c>
    </row>
    <row r="2424" spans="12:13">
      <c r="L2424" s="69">
        <v>494210</v>
      </c>
      <c r="M2424" t="s">
        <v>1342</v>
      </c>
    </row>
    <row r="2425" spans="12:13">
      <c r="L2425" s="69">
        <v>494211</v>
      </c>
      <c r="M2425" t="s">
        <v>1343</v>
      </c>
    </row>
    <row r="2426" spans="12:13">
      <c r="L2426" s="69">
        <v>494212</v>
      </c>
      <c r="M2426" t="s">
        <v>1346</v>
      </c>
    </row>
    <row r="2427" spans="12:13">
      <c r="L2427" s="69">
        <v>494213</v>
      </c>
      <c r="M2427" t="s">
        <v>1354</v>
      </c>
    </row>
    <row r="2428" spans="12:13">
      <c r="L2428" s="69">
        <v>494214</v>
      </c>
      <c r="M2428" t="s">
        <v>1365</v>
      </c>
    </row>
    <row r="2429" spans="12:13">
      <c r="L2429" s="69">
        <v>494215</v>
      </c>
      <c r="M2429" t="s">
        <v>1376</v>
      </c>
    </row>
    <row r="2430" spans="12:13">
      <c r="L2430" s="69">
        <v>494216</v>
      </c>
      <c r="M2430" t="s">
        <v>1386</v>
      </c>
    </row>
    <row r="2431" spans="12:13">
      <c r="L2431" s="69">
        <v>494219</v>
      </c>
      <c r="M2431" t="s">
        <v>1401</v>
      </c>
    </row>
    <row r="2432" spans="12:13">
      <c r="L2432" s="69">
        <v>494220</v>
      </c>
      <c r="M2432" t="s">
        <v>1404</v>
      </c>
    </row>
    <row r="2433" spans="12:13">
      <c r="L2433" s="69">
        <v>494221</v>
      </c>
      <c r="M2433" t="s">
        <v>1405</v>
      </c>
    </row>
    <row r="2434" spans="12:13">
      <c r="L2434" s="69">
        <v>494222</v>
      </c>
      <c r="M2434" t="s">
        <v>1415</v>
      </c>
    </row>
    <row r="2435" spans="12:13">
      <c r="L2435" s="69">
        <v>494223</v>
      </c>
      <c r="M2435" t="s">
        <v>1421</v>
      </c>
    </row>
    <row r="2436" spans="12:13">
      <c r="L2436" s="69">
        <v>494224</v>
      </c>
      <c r="M2436" t="s">
        <v>1430</v>
      </c>
    </row>
    <row r="2437" spans="12:13">
      <c r="L2437" s="69">
        <v>494229</v>
      </c>
      <c r="M2437" t="s">
        <v>1433</v>
      </c>
    </row>
    <row r="2438" spans="12:13">
      <c r="L2438" s="69">
        <v>494230</v>
      </c>
      <c r="M2438" t="s">
        <v>1435</v>
      </c>
    </row>
    <row r="2439" spans="12:13">
      <c r="L2439" s="69">
        <v>494231</v>
      </c>
      <c r="M2439" t="s">
        <v>1436</v>
      </c>
    </row>
    <row r="2440" spans="12:13">
      <c r="L2440" s="69">
        <v>494232</v>
      </c>
      <c r="M2440" t="s">
        <v>1441</v>
      </c>
    </row>
    <row r="2441" spans="12:13">
      <c r="L2441" s="69">
        <v>494233</v>
      </c>
      <c r="M2441" t="s">
        <v>1447</v>
      </c>
    </row>
    <row r="2442" spans="12:13">
      <c r="L2442" s="69">
        <v>494234</v>
      </c>
      <c r="M2442" t="s">
        <v>1455</v>
      </c>
    </row>
    <row r="2443" spans="12:13">
      <c r="L2443" s="69">
        <v>494235</v>
      </c>
      <c r="M2443" t="s">
        <v>1470</v>
      </c>
    </row>
    <row r="2444" spans="12:13">
      <c r="L2444" s="69">
        <v>494236</v>
      </c>
      <c r="M2444" t="s">
        <v>1483</v>
      </c>
    </row>
    <row r="2445" spans="12:13">
      <c r="L2445" s="69">
        <v>494237</v>
      </c>
      <c r="M2445" t="s">
        <v>1488</v>
      </c>
    </row>
    <row r="2446" spans="12:13">
      <c r="L2446" s="69">
        <v>494239</v>
      </c>
      <c r="M2446" t="s">
        <v>1490</v>
      </c>
    </row>
    <row r="2447" spans="12:13">
      <c r="L2447" s="69">
        <v>494240</v>
      </c>
      <c r="M2447" t="s">
        <v>1491</v>
      </c>
    </row>
    <row r="2448" spans="12:13">
      <c r="L2448" s="69">
        <v>494241</v>
      </c>
      <c r="M2448" t="s">
        <v>1492</v>
      </c>
    </row>
    <row r="2449" spans="12:13">
      <c r="L2449" s="69">
        <v>494242</v>
      </c>
      <c r="M2449" t="s">
        <v>1498</v>
      </c>
    </row>
    <row r="2450" spans="12:13">
      <c r="L2450" s="69">
        <v>494243</v>
      </c>
      <c r="M2450" t="s">
        <v>1504</v>
      </c>
    </row>
    <row r="2451" spans="12:13">
      <c r="L2451" s="69">
        <v>494244</v>
      </c>
      <c r="M2451" t="s">
        <v>1510</v>
      </c>
    </row>
    <row r="2452" spans="12:13">
      <c r="L2452" s="69">
        <v>494245</v>
      </c>
      <c r="M2452" t="s">
        <v>1511</v>
      </c>
    </row>
    <row r="2453" spans="12:13">
      <c r="L2453" s="69">
        <v>494246</v>
      </c>
      <c r="M2453" t="s">
        <v>1512</v>
      </c>
    </row>
    <row r="2454" spans="12:13">
      <c r="L2454" s="69">
        <v>494249</v>
      </c>
      <c r="M2454" t="s">
        <v>1516</v>
      </c>
    </row>
    <row r="2455" spans="12:13">
      <c r="L2455" s="69">
        <v>494250</v>
      </c>
      <c r="M2455" t="s">
        <v>1517</v>
      </c>
    </row>
    <row r="2456" spans="12:13">
      <c r="L2456" s="69">
        <v>494251</v>
      </c>
      <c r="M2456" t="s">
        <v>1518</v>
      </c>
    </row>
    <row r="2457" spans="12:13">
      <c r="L2457" s="69">
        <v>494252</v>
      </c>
      <c r="M2457" t="s">
        <v>1529</v>
      </c>
    </row>
    <row r="2458" spans="12:13">
      <c r="L2458" s="69">
        <v>494260</v>
      </c>
      <c r="M2458" t="s">
        <v>1556</v>
      </c>
    </row>
    <row r="2459" spans="12:13">
      <c r="L2459" s="69">
        <v>494261</v>
      </c>
      <c r="M2459" t="s">
        <v>1557</v>
      </c>
    </row>
    <row r="2460" spans="12:13">
      <c r="L2460" s="69">
        <v>494262</v>
      </c>
      <c r="M2460" t="s">
        <v>1950</v>
      </c>
    </row>
    <row r="2461" spans="12:13">
      <c r="L2461" s="69">
        <v>494263</v>
      </c>
      <c r="M2461" t="s">
        <v>1951</v>
      </c>
    </row>
    <row r="2462" spans="12:13">
      <c r="L2462" s="69">
        <v>494264</v>
      </c>
      <c r="M2462" t="s">
        <v>1952</v>
      </c>
    </row>
    <row r="2463" spans="12:13">
      <c r="L2463" s="69">
        <v>494265</v>
      </c>
      <c r="M2463" t="s">
        <v>1953</v>
      </c>
    </row>
    <row r="2464" spans="12:13">
      <c r="L2464" s="69">
        <v>494266</v>
      </c>
      <c r="M2464" t="s">
        <v>1954</v>
      </c>
    </row>
    <row r="2465" spans="12:13">
      <c r="L2465" s="69">
        <v>494267</v>
      </c>
      <c r="M2465" t="s">
        <v>1596</v>
      </c>
    </row>
    <row r="2466" spans="12:13">
      <c r="L2466" s="69">
        <v>494268</v>
      </c>
      <c r="M2466" t="s">
        <v>1955</v>
      </c>
    </row>
    <row r="2467" spans="12:13">
      <c r="L2467" s="69">
        <v>494269</v>
      </c>
      <c r="M2467" t="s">
        <v>1956</v>
      </c>
    </row>
    <row r="2468" spans="12:13">
      <c r="L2468" s="69">
        <v>494300</v>
      </c>
      <c r="M2468" t="s">
        <v>1620</v>
      </c>
    </row>
    <row r="2469" spans="12:13">
      <c r="L2469" s="69">
        <v>494310</v>
      </c>
      <c r="M2469" t="s">
        <v>1621</v>
      </c>
    </row>
    <row r="2470" spans="12:13">
      <c r="L2470" s="69">
        <v>494311</v>
      </c>
      <c r="M2470" t="s">
        <v>1622</v>
      </c>
    </row>
    <row r="2471" spans="12:13">
      <c r="L2471" s="69">
        <v>494312</v>
      </c>
      <c r="M2471" t="s">
        <v>1623</v>
      </c>
    </row>
    <row r="2472" spans="12:13">
      <c r="L2472" s="69">
        <v>494313</v>
      </c>
      <c r="M2472" t="s">
        <v>1624</v>
      </c>
    </row>
    <row r="2473" spans="12:13">
      <c r="L2473" s="69">
        <v>494320</v>
      </c>
      <c r="M2473" t="s">
        <v>1625</v>
      </c>
    </row>
    <row r="2474" spans="12:13">
      <c r="L2474" s="69">
        <v>494321</v>
      </c>
      <c r="M2474" t="s">
        <v>1625</v>
      </c>
    </row>
    <row r="2475" spans="12:13">
      <c r="L2475" s="69">
        <v>494330</v>
      </c>
      <c r="M2475" t="s">
        <v>1627</v>
      </c>
    </row>
    <row r="2476" spans="12:13">
      <c r="L2476" s="69">
        <v>494331</v>
      </c>
      <c r="M2476" t="s">
        <v>1628</v>
      </c>
    </row>
    <row r="2477" spans="12:13">
      <c r="L2477" s="69">
        <v>494340</v>
      </c>
      <c r="M2477" t="s">
        <v>1629</v>
      </c>
    </row>
    <row r="2478" spans="12:13">
      <c r="L2478" s="69">
        <v>494341</v>
      </c>
      <c r="M2478" t="s">
        <v>1630</v>
      </c>
    </row>
    <row r="2479" spans="12:13">
      <c r="L2479" s="69">
        <v>494342</v>
      </c>
      <c r="M2479" t="s">
        <v>1631</v>
      </c>
    </row>
    <row r="2480" spans="12:13">
      <c r="L2480" s="69">
        <v>494343</v>
      </c>
      <c r="M2480" t="s">
        <v>1632</v>
      </c>
    </row>
    <row r="2481" spans="12:13">
      <c r="L2481" s="69">
        <v>494350</v>
      </c>
      <c r="M2481" t="s">
        <v>1635</v>
      </c>
    </row>
    <row r="2482" spans="12:13">
      <c r="L2482" s="69">
        <v>494351</v>
      </c>
      <c r="M2482" t="s">
        <v>1635</v>
      </c>
    </row>
    <row r="2483" spans="12:13">
      <c r="L2483" s="69">
        <v>494400</v>
      </c>
      <c r="M2483" t="s">
        <v>1636</v>
      </c>
    </row>
    <row r="2484" spans="12:13">
      <c r="L2484" s="69">
        <v>494410</v>
      </c>
      <c r="M2484" t="s">
        <v>1957</v>
      </c>
    </row>
    <row r="2485" spans="12:13">
      <c r="L2485" s="69">
        <v>494411</v>
      </c>
      <c r="M2485" t="s">
        <v>1638</v>
      </c>
    </row>
    <row r="2486" spans="12:13">
      <c r="L2486" s="69">
        <v>494412</v>
      </c>
      <c r="M2486" t="s">
        <v>1641</v>
      </c>
    </row>
    <row r="2487" spans="12:13">
      <c r="L2487" s="69">
        <v>494413</v>
      </c>
      <c r="M2487" t="s">
        <v>1650</v>
      </c>
    </row>
    <row r="2488" spans="12:13">
      <c r="L2488" s="69">
        <v>494414</v>
      </c>
      <c r="M2488" t="s">
        <v>1958</v>
      </c>
    </row>
    <row r="2489" spans="12:13">
      <c r="L2489" s="69">
        <v>494415</v>
      </c>
      <c r="M2489" t="s">
        <v>1959</v>
      </c>
    </row>
    <row r="2490" spans="12:13">
      <c r="L2490" s="69">
        <v>494416</v>
      </c>
      <c r="M2490" t="s">
        <v>1960</v>
      </c>
    </row>
    <row r="2491" spans="12:13">
      <c r="L2491" s="69">
        <v>494417</v>
      </c>
      <c r="M2491" t="s">
        <v>1656</v>
      </c>
    </row>
    <row r="2492" spans="12:13">
      <c r="L2492" s="69">
        <v>494418</v>
      </c>
      <c r="M2492" t="s">
        <v>1961</v>
      </c>
    </row>
    <row r="2493" spans="12:13">
      <c r="L2493" s="69">
        <v>494420</v>
      </c>
      <c r="M2493" t="s">
        <v>1660</v>
      </c>
    </row>
    <row r="2494" spans="12:13">
      <c r="L2494" s="69">
        <v>494421</v>
      </c>
      <c r="M2494" t="s">
        <v>1661</v>
      </c>
    </row>
    <row r="2495" spans="12:13">
      <c r="L2495" s="69">
        <v>494422</v>
      </c>
      <c r="M2495" t="s">
        <v>1665</v>
      </c>
    </row>
    <row r="2496" spans="12:13">
      <c r="L2496" s="69">
        <v>494423</v>
      </c>
      <c r="M2496" t="s">
        <v>1669</v>
      </c>
    </row>
    <row r="2497" spans="12:13">
      <c r="L2497" s="69">
        <v>494424</v>
      </c>
      <c r="M2497" t="s">
        <v>1676</v>
      </c>
    </row>
    <row r="2498" spans="12:13">
      <c r="L2498" s="69">
        <v>494425</v>
      </c>
      <c r="M2498" t="s">
        <v>1679</v>
      </c>
    </row>
    <row r="2499" spans="12:13">
      <c r="L2499" s="69">
        <v>494426</v>
      </c>
      <c r="M2499" t="s">
        <v>1680</v>
      </c>
    </row>
    <row r="2500" spans="12:13">
      <c r="L2500" s="69">
        <v>494430</v>
      </c>
      <c r="M2500" t="s">
        <v>1681</v>
      </c>
    </row>
    <row r="2501" spans="12:13">
      <c r="L2501" s="69">
        <v>494431</v>
      </c>
      <c r="M2501" t="s">
        <v>1681</v>
      </c>
    </row>
    <row r="2502" spans="12:13">
      <c r="L2502" s="69">
        <v>494440</v>
      </c>
      <c r="M2502" t="s">
        <v>1682</v>
      </c>
    </row>
    <row r="2503" spans="12:13">
      <c r="L2503" s="69">
        <v>494441</v>
      </c>
      <c r="M2503" t="s">
        <v>1683</v>
      </c>
    </row>
    <row r="2504" spans="12:13">
      <c r="L2504" s="69">
        <v>494442</v>
      </c>
      <c r="M2504" t="s">
        <v>1684</v>
      </c>
    </row>
    <row r="2505" spans="12:13">
      <c r="L2505" s="69">
        <v>494443</v>
      </c>
      <c r="M2505" t="s">
        <v>1687</v>
      </c>
    </row>
    <row r="2506" spans="12:13">
      <c r="L2506" s="69">
        <v>494500</v>
      </c>
      <c r="M2506" t="s">
        <v>1688</v>
      </c>
    </row>
    <row r="2507" spans="12:13">
      <c r="L2507" s="69">
        <v>494510</v>
      </c>
      <c r="M2507" t="s">
        <v>1689</v>
      </c>
    </row>
    <row r="2508" spans="12:13">
      <c r="L2508" s="69">
        <v>494511</v>
      </c>
      <c r="M2508" t="s">
        <v>1690</v>
      </c>
    </row>
    <row r="2509" spans="12:13">
      <c r="L2509" s="69">
        <v>494512</v>
      </c>
      <c r="M2509" t="s">
        <v>1699</v>
      </c>
    </row>
    <row r="2510" spans="12:13">
      <c r="L2510" s="69">
        <v>494520</v>
      </c>
      <c r="M2510" t="s">
        <v>1706</v>
      </c>
    </row>
    <row r="2511" spans="12:13">
      <c r="L2511" s="69">
        <v>494521</v>
      </c>
      <c r="M2511" t="s">
        <v>1707</v>
      </c>
    </row>
    <row r="2512" spans="12:13">
      <c r="L2512" s="69">
        <v>494522</v>
      </c>
      <c r="M2512" t="s">
        <v>1710</v>
      </c>
    </row>
    <row r="2513" spans="12:13">
      <c r="L2513" s="69">
        <v>494530</v>
      </c>
      <c r="M2513" t="s">
        <v>1713</v>
      </c>
    </row>
    <row r="2514" spans="12:13">
      <c r="L2514" s="69">
        <v>494531</v>
      </c>
      <c r="M2514" t="s">
        <v>1714</v>
      </c>
    </row>
    <row r="2515" spans="12:13">
      <c r="L2515" s="69">
        <v>494532</v>
      </c>
      <c r="M2515" t="s">
        <v>1718</v>
      </c>
    </row>
    <row r="2516" spans="12:13">
      <c r="L2516" s="69">
        <v>494540</v>
      </c>
      <c r="M2516" t="s">
        <v>1721</v>
      </c>
    </row>
    <row r="2517" spans="12:13">
      <c r="L2517" s="69">
        <v>494541</v>
      </c>
      <c r="M2517" t="s">
        <v>1722</v>
      </c>
    </row>
    <row r="2518" spans="12:13">
      <c r="L2518" s="69">
        <v>494542</v>
      </c>
      <c r="M2518" t="s">
        <v>1723</v>
      </c>
    </row>
    <row r="2519" spans="12:13">
      <c r="L2519" s="69">
        <v>494700</v>
      </c>
      <c r="M2519" t="s">
        <v>1962</v>
      </c>
    </row>
    <row r="2520" spans="12:13">
      <c r="L2520" s="69">
        <v>494710</v>
      </c>
      <c r="M2520" t="s">
        <v>1779</v>
      </c>
    </row>
    <row r="2521" spans="12:13">
      <c r="L2521" s="69">
        <v>494711</v>
      </c>
      <c r="M2521" t="s">
        <v>1780</v>
      </c>
    </row>
    <row r="2522" spans="12:13">
      <c r="L2522" s="69">
        <v>494712</v>
      </c>
      <c r="M2522" t="s">
        <v>1815</v>
      </c>
    </row>
    <row r="2523" spans="12:13">
      <c r="L2523" s="69">
        <v>494719</v>
      </c>
      <c r="M2523" t="s">
        <v>1848</v>
      </c>
    </row>
    <row r="2524" spans="12:13">
      <c r="L2524" s="69">
        <v>494720</v>
      </c>
      <c r="M2524" t="s">
        <v>1864</v>
      </c>
    </row>
    <row r="2525" spans="12:13">
      <c r="L2525" s="69">
        <v>494721</v>
      </c>
      <c r="M2525" t="s">
        <v>1865</v>
      </c>
    </row>
    <row r="2526" spans="12:13">
      <c r="L2526" s="69">
        <v>494722</v>
      </c>
      <c r="M2526" t="s">
        <v>1871</v>
      </c>
    </row>
    <row r="2527" spans="12:13">
      <c r="L2527" s="69">
        <v>494723</v>
      </c>
      <c r="M2527" t="s">
        <v>1872</v>
      </c>
    </row>
    <row r="2528" spans="12:13">
      <c r="L2528" s="69">
        <v>494724</v>
      </c>
      <c r="M2528" t="s">
        <v>1963</v>
      </c>
    </row>
    <row r="2529" spans="12:13">
      <c r="L2529" s="69">
        <v>494725</v>
      </c>
      <c r="M2529" t="s">
        <v>1874</v>
      </c>
    </row>
    <row r="2530" spans="12:13">
      <c r="L2530" s="69">
        <v>494726</v>
      </c>
      <c r="M2530" t="s">
        <v>1877</v>
      </c>
    </row>
    <row r="2531" spans="12:13">
      <c r="L2531" s="69">
        <v>494727</v>
      </c>
      <c r="M2531" t="s">
        <v>1878</v>
      </c>
    </row>
    <row r="2532" spans="12:13">
      <c r="L2532" s="69">
        <v>494728</v>
      </c>
      <c r="M2532" t="s">
        <v>1894</v>
      </c>
    </row>
    <row r="2533" spans="12:13">
      <c r="L2533" s="69">
        <v>494729</v>
      </c>
      <c r="M2533" t="s">
        <v>1964</v>
      </c>
    </row>
    <row r="2534" spans="12:13">
      <c r="L2534" s="69">
        <v>494800</v>
      </c>
      <c r="M2534" t="s">
        <v>1900</v>
      </c>
    </row>
    <row r="2535" spans="12:13">
      <c r="L2535" s="69">
        <v>494810</v>
      </c>
      <c r="M2535" t="s">
        <v>1901</v>
      </c>
    </row>
    <row r="2536" spans="12:13">
      <c r="L2536" s="69">
        <v>494811</v>
      </c>
      <c r="M2536" t="s">
        <v>1902</v>
      </c>
    </row>
    <row r="2537" spans="12:13">
      <c r="L2537" s="69">
        <v>494819</v>
      </c>
      <c r="M2537" t="s">
        <v>1909</v>
      </c>
    </row>
    <row r="2538" spans="12:13">
      <c r="L2538" s="69">
        <v>494820</v>
      </c>
      <c r="M2538" t="s">
        <v>1965</v>
      </c>
    </row>
    <row r="2539" spans="12:13">
      <c r="L2539" s="69">
        <v>494821</v>
      </c>
      <c r="M2539" t="s">
        <v>1922</v>
      </c>
    </row>
    <row r="2540" spans="12:13">
      <c r="L2540" s="69">
        <v>494822</v>
      </c>
      <c r="M2540" t="s">
        <v>1935</v>
      </c>
    </row>
    <row r="2541" spans="12:13">
      <c r="L2541" s="69">
        <v>494823</v>
      </c>
      <c r="M2541" t="s">
        <v>1936</v>
      </c>
    </row>
    <row r="2542" spans="12:13">
      <c r="L2542" s="69">
        <v>494830</v>
      </c>
      <c r="M2542" t="s">
        <v>1939</v>
      </c>
    </row>
    <row r="2543" spans="12:13">
      <c r="L2543" s="69">
        <v>494831</v>
      </c>
      <c r="M2543" t="s">
        <v>1939</v>
      </c>
    </row>
    <row r="2544" spans="12:13">
      <c r="L2544" s="69">
        <v>494840</v>
      </c>
      <c r="M2544" t="s">
        <v>1940</v>
      </c>
    </row>
    <row r="2545" spans="12:13">
      <c r="L2545" s="69">
        <v>494841</v>
      </c>
      <c r="M2545" t="s">
        <v>1941</v>
      </c>
    </row>
    <row r="2546" spans="12:13">
      <c r="L2546" s="69">
        <v>494842</v>
      </c>
      <c r="M2546" t="s">
        <v>1942</v>
      </c>
    </row>
    <row r="2547" spans="12:13">
      <c r="L2547" s="69">
        <v>494850</v>
      </c>
      <c r="M2547" t="s">
        <v>1943</v>
      </c>
    </row>
    <row r="2548" spans="12:13">
      <c r="L2548" s="69">
        <v>494851</v>
      </c>
      <c r="M2548" t="s">
        <v>1943</v>
      </c>
    </row>
    <row r="2549" spans="12:13">
      <c r="L2549" s="69">
        <v>495000</v>
      </c>
      <c r="M2549" t="s">
        <v>1966</v>
      </c>
    </row>
    <row r="2550" spans="12:13">
      <c r="L2550" s="69">
        <v>495100</v>
      </c>
      <c r="M2550" t="s">
        <v>1200</v>
      </c>
    </row>
    <row r="2551" spans="12:13">
      <c r="L2551" s="69">
        <v>495110</v>
      </c>
      <c r="M2551" t="s">
        <v>268</v>
      </c>
    </row>
    <row r="2552" spans="12:13">
      <c r="L2552" s="69">
        <v>495111</v>
      </c>
      <c r="M2552" t="s">
        <v>1967</v>
      </c>
    </row>
    <row r="2553" spans="12:13">
      <c r="L2553" s="69">
        <v>495112</v>
      </c>
      <c r="M2553" t="s">
        <v>1968</v>
      </c>
    </row>
    <row r="2554" spans="12:13">
      <c r="L2554" s="69">
        <v>495113</v>
      </c>
      <c r="M2554" t="s">
        <v>1969</v>
      </c>
    </row>
    <row r="2555" spans="12:13">
      <c r="L2555" s="69">
        <v>495114</v>
      </c>
      <c r="M2555" t="s">
        <v>1970</v>
      </c>
    </row>
    <row r="2556" spans="12:13">
      <c r="L2556" s="69">
        <v>495120</v>
      </c>
      <c r="M2556" t="s">
        <v>1971</v>
      </c>
    </row>
    <row r="2557" spans="12:13">
      <c r="L2557" s="69">
        <v>495121</v>
      </c>
      <c r="M2557" t="s">
        <v>325</v>
      </c>
    </row>
    <row r="2558" spans="12:13">
      <c r="L2558" s="69">
        <v>495122</v>
      </c>
      <c r="M2558" t="s">
        <v>334</v>
      </c>
    </row>
    <row r="2559" spans="12:13">
      <c r="L2559" s="69">
        <v>495123</v>
      </c>
      <c r="M2559" t="s">
        <v>344</v>
      </c>
    </row>
    <row r="2560" spans="12:13">
      <c r="L2560" s="69">
        <v>495124</v>
      </c>
      <c r="M2560" t="s">
        <v>349</v>
      </c>
    </row>
    <row r="2561" spans="12:13">
      <c r="L2561" s="69">
        <v>495125</v>
      </c>
      <c r="M2561" t="s">
        <v>354</v>
      </c>
    </row>
    <row r="2562" spans="12:13">
      <c r="L2562" s="69">
        <v>495126</v>
      </c>
      <c r="M2562" t="s">
        <v>363</v>
      </c>
    </row>
    <row r="2563" spans="12:13">
      <c r="L2563" s="69">
        <v>495127</v>
      </c>
      <c r="M2563" t="s">
        <v>372</v>
      </c>
    </row>
    <row r="2564" spans="12:13">
      <c r="L2564" s="69">
        <v>495128</v>
      </c>
      <c r="M2564" t="s">
        <v>377</v>
      </c>
    </row>
    <row r="2565" spans="12:13">
      <c r="L2565" s="69">
        <v>495129</v>
      </c>
      <c r="M2565" t="s">
        <v>382</v>
      </c>
    </row>
    <row r="2566" spans="12:13">
      <c r="L2566" s="69">
        <v>495130</v>
      </c>
      <c r="M2566" t="s">
        <v>391</v>
      </c>
    </row>
    <row r="2567" spans="12:13">
      <c r="L2567" s="69">
        <v>495131</v>
      </c>
      <c r="M2567" t="s">
        <v>391</v>
      </c>
    </row>
    <row r="2568" spans="12:13">
      <c r="L2568" s="69">
        <v>495140</v>
      </c>
      <c r="M2568" t="s">
        <v>396</v>
      </c>
    </row>
    <row r="2569" spans="12:13">
      <c r="L2569" s="69">
        <v>495141</v>
      </c>
      <c r="M2569" t="s">
        <v>396</v>
      </c>
    </row>
    <row r="2570" spans="12:13">
      <c r="L2570" s="69">
        <v>495150</v>
      </c>
      <c r="M2570" t="s">
        <v>488</v>
      </c>
    </row>
    <row r="2571" spans="12:13">
      <c r="L2571" s="69">
        <v>495151</v>
      </c>
      <c r="M2571" t="s">
        <v>488</v>
      </c>
    </row>
    <row r="2572" spans="12:13">
      <c r="L2572" s="69">
        <v>495200</v>
      </c>
      <c r="M2572" t="s">
        <v>520</v>
      </c>
    </row>
    <row r="2573" spans="12:13">
      <c r="L2573" s="69">
        <v>495210</v>
      </c>
      <c r="M2573" t="s">
        <v>521</v>
      </c>
    </row>
    <row r="2574" spans="12:13">
      <c r="L2574" s="69">
        <v>495211</v>
      </c>
      <c r="M2574" t="s">
        <v>521</v>
      </c>
    </row>
    <row r="2575" spans="12:13">
      <c r="L2575" s="69">
        <v>495220</v>
      </c>
      <c r="M2575" t="s">
        <v>525</v>
      </c>
    </row>
    <row r="2576" spans="12:13">
      <c r="L2576" s="69">
        <v>495221</v>
      </c>
      <c r="M2576" t="s">
        <v>1972</v>
      </c>
    </row>
    <row r="2577" spans="12:13">
      <c r="L2577" s="69">
        <v>495222</v>
      </c>
      <c r="M2577" t="s">
        <v>1204</v>
      </c>
    </row>
    <row r="2578" spans="12:13">
      <c r="L2578" s="69">
        <v>495223</v>
      </c>
      <c r="M2578" t="s">
        <v>1205</v>
      </c>
    </row>
    <row r="2579" spans="12:13">
      <c r="L2579" s="69">
        <v>495230</v>
      </c>
      <c r="M2579" t="s">
        <v>1206</v>
      </c>
    </row>
    <row r="2580" spans="12:13">
      <c r="L2580" s="69">
        <v>495231</v>
      </c>
      <c r="M2580" t="s">
        <v>1206</v>
      </c>
    </row>
    <row r="2581" spans="12:13">
      <c r="L2581" s="69">
        <v>495300</v>
      </c>
      <c r="M2581" t="s">
        <v>402</v>
      </c>
    </row>
    <row r="2582" spans="12:13">
      <c r="L2582" s="69">
        <v>495310</v>
      </c>
      <c r="M2582" t="s">
        <v>402</v>
      </c>
    </row>
    <row r="2583" spans="12:13">
      <c r="L2583" s="69">
        <v>495311</v>
      </c>
      <c r="M2583" t="s">
        <v>402</v>
      </c>
    </row>
    <row r="2584" spans="12:13">
      <c r="L2584" s="69">
        <v>495400</v>
      </c>
      <c r="M2584" t="s">
        <v>411</v>
      </c>
    </row>
    <row r="2585" spans="12:13">
      <c r="L2585" s="69">
        <v>495410</v>
      </c>
      <c r="M2585" t="s">
        <v>412</v>
      </c>
    </row>
    <row r="2586" spans="12:13">
      <c r="L2586" s="69">
        <v>495411</v>
      </c>
      <c r="M2586" t="s">
        <v>412</v>
      </c>
    </row>
    <row r="2587" spans="12:13">
      <c r="L2587" s="69">
        <v>495420</v>
      </c>
      <c r="M2587" t="s">
        <v>1973</v>
      </c>
    </row>
    <row r="2588" spans="12:13">
      <c r="L2588" s="69">
        <v>495421</v>
      </c>
      <c r="M2588" t="s">
        <v>422</v>
      </c>
    </row>
    <row r="2589" spans="12:13">
      <c r="L2589" s="69">
        <v>495430</v>
      </c>
      <c r="M2589" t="s">
        <v>428</v>
      </c>
    </row>
    <row r="2590" spans="12:13">
      <c r="L2590" s="69">
        <v>495431</v>
      </c>
      <c r="M2590" t="s">
        <v>429</v>
      </c>
    </row>
    <row r="2591" spans="12:13">
      <c r="L2591" s="69">
        <v>495432</v>
      </c>
      <c r="M2591" t="s">
        <v>433</v>
      </c>
    </row>
    <row r="2592" spans="12:13">
      <c r="L2592" s="69">
        <v>496000</v>
      </c>
      <c r="M2592" t="s">
        <v>1974</v>
      </c>
    </row>
    <row r="2593" spans="12:13">
      <c r="L2593" s="69">
        <v>496100</v>
      </c>
      <c r="M2593" t="s">
        <v>1975</v>
      </c>
    </row>
    <row r="2594" spans="12:13">
      <c r="L2594" s="69">
        <v>496110</v>
      </c>
      <c r="M2594" t="s">
        <v>1976</v>
      </c>
    </row>
    <row r="2595" spans="12:13">
      <c r="L2595" s="69">
        <v>496111</v>
      </c>
      <c r="M2595" t="s">
        <v>1977</v>
      </c>
    </row>
    <row r="2596" spans="12:13">
      <c r="L2596" s="69">
        <v>496112</v>
      </c>
      <c r="M2596" t="s">
        <v>1978</v>
      </c>
    </row>
    <row r="2597" spans="12:13">
      <c r="L2597" s="69">
        <v>496113</v>
      </c>
      <c r="M2597" t="s">
        <v>1979</v>
      </c>
    </row>
    <row r="2598" spans="12:13">
      <c r="L2598" s="69">
        <v>496114</v>
      </c>
      <c r="M2598" t="s">
        <v>1980</v>
      </c>
    </row>
    <row r="2599" spans="12:13">
      <c r="L2599" s="69">
        <v>496115</v>
      </c>
      <c r="M2599" t="s">
        <v>1981</v>
      </c>
    </row>
    <row r="2600" spans="12:13">
      <c r="L2600" s="69">
        <v>496116</v>
      </c>
      <c r="M2600" t="s">
        <v>1982</v>
      </c>
    </row>
    <row r="2601" spans="12:13">
      <c r="L2601" s="69">
        <v>496117</v>
      </c>
      <c r="M2601" t="s">
        <v>1983</v>
      </c>
    </row>
    <row r="2602" spans="12:13">
      <c r="L2602" s="69">
        <v>496118</v>
      </c>
      <c r="M2602" t="s">
        <v>1984</v>
      </c>
    </row>
    <row r="2603" spans="12:13">
      <c r="L2603" s="69">
        <v>496119</v>
      </c>
      <c r="M2603" t="s">
        <v>1985</v>
      </c>
    </row>
    <row r="2604" spans="12:13">
      <c r="L2604" s="69">
        <v>496120</v>
      </c>
      <c r="M2604" t="s">
        <v>1986</v>
      </c>
    </row>
    <row r="2605" spans="12:13">
      <c r="L2605" s="69">
        <v>496121</v>
      </c>
      <c r="M2605" t="s">
        <v>1987</v>
      </c>
    </row>
    <row r="2606" spans="12:13">
      <c r="L2606" s="69">
        <v>496122</v>
      </c>
      <c r="M2606" t="s">
        <v>1988</v>
      </c>
    </row>
    <row r="2607" spans="12:13">
      <c r="L2607" s="69">
        <v>496123</v>
      </c>
      <c r="M2607" t="s">
        <v>1989</v>
      </c>
    </row>
    <row r="2608" spans="12:13">
      <c r="L2608" s="69">
        <v>496124</v>
      </c>
      <c r="M2608" t="s">
        <v>1990</v>
      </c>
    </row>
    <row r="2609" spans="12:13">
      <c r="L2609" s="69">
        <v>496125</v>
      </c>
      <c r="M2609" t="s">
        <v>1991</v>
      </c>
    </row>
    <row r="2610" spans="12:13">
      <c r="L2610" s="69">
        <v>496126</v>
      </c>
      <c r="M2610" t="s">
        <v>1992</v>
      </c>
    </row>
    <row r="2611" spans="12:13">
      <c r="L2611" s="69">
        <v>496129</v>
      </c>
      <c r="M2611" t="s">
        <v>1993</v>
      </c>
    </row>
    <row r="2612" spans="12:13">
      <c r="L2612" s="69">
        <v>496130</v>
      </c>
      <c r="M2612" t="s">
        <v>1994</v>
      </c>
    </row>
    <row r="2613" spans="12:13">
      <c r="L2613" s="69">
        <v>496131</v>
      </c>
      <c r="M2613" t="s">
        <v>1994</v>
      </c>
    </row>
    <row r="2614" spans="12:13">
      <c r="L2614" s="69">
        <v>496140</v>
      </c>
      <c r="M2614" t="s">
        <v>1995</v>
      </c>
    </row>
    <row r="2615" spans="12:13">
      <c r="L2615" s="69">
        <v>496141</v>
      </c>
      <c r="M2615" t="s">
        <v>1995</v>
      </c>
    </row>
    <row r="2616" spans="12:13">
      <c r="L2616" s="69">
        <v>496200</v>
      </c>
      <c r="M2616" t="s">
        <v>1996</v>
      </c>
    </row>
    <row r="2617" spans="12:13">
      <c r="L2617" s="69">
        <v>496210</v>
      </c>
      <c r="M2617" t="s">
        <v>1997</v>
      </c>
    </row>
    <row r="2618" spans="12:13">
      <c r="L2618" s="69">
        <v>496211</v>
      </c>
      <c r="M2618" t="s">
        <v>1998</v>
      </c>
    </row>
    <row r="2619" spans="12:13">
      <c r="L2619" s="69">
        <v>496212</v>
      </c>
      <c r="M2619" t="s">
        <v>565</v>
      </c>
    </row>
    <row r="2620" spans="12:13">
      <c r="L2620" s="69">
        <v>496213</v>
      </c>
      <c r="M2620" t="s">
        <v>580</v>
      </c>
    </row>
    <row r="2621" spans="12:13">
      <c r="L2621" s="69">
        <v>496214</v>
      </c>
      <c r="M2621" t="s">
        <v>587</v>
      </c>
    </row>
    <row r="2622" spans="12:13">
      <c r="L2622" s="69">
        <v>496215</v>
      </c>
      <c r="M2622" t="s">
        <v>589</v>
      </c>
    </row>
    <row r="2623" spans="12:13">
      <c r="L2623" s="69">
        <v>496216</v>
      </c>
      <c r="M2623" t="s">
        <v>591</v>
      </c>
    </row>
    <row r="2624" spans="12:13">
      <c r="L2624" s="69">
        <v>496217</v>
      </c>
      <c r="M2624" t="s">
        <v>1999</v>
      </c>
    </row>
    <row r="2625" spans="12:13">
      <c r="L2625" s="69">
        <v>496218</v>
      </c>
      <c r="M2625" t="s">
        <v>600</v>
      </c>
    </row>
    <row r="2626" spans="12:13">
      <c r="L2626" s="69">
        <v>496219</v>
      </c>
      <c r="M2626" t="s">
        <v>2000</v>
      </c>
    </row>
    <row r="2627" spans="12:13">
      <c r="L2627" s="69">
        <v>496220</v>
      </c>
      <c r="M2627" t="s">
        <v>2001</v>
      </c>
    </row>
    <row r="2628" spans="12:13">
      <c r="L2628" s="69">
        <v>496221</v>
      </c>
      <c r="M2628" t="s">
        <v>2002</v>
      </c>
    </row>
    <row r="2629" spans="12:13">
      <c r="L2629" s="69">
        <v>496222</v>
      </c>
      <c r="M2629" t="s">
        <v>617</v>
      </c>
    </row>
    <row r="2630" spans="12:13">
      <c r="L2630" s="69">
        <v>496223</v>
      </c>
      <c r="M2630" t="s">
        <v>619</v>
      </c>
    </row>
    <row r="2631" spans="12:13">
      <c r="L2631" s="69">
        <v>496224</v>
      </c>
      <c r="M2631" t="s">
        <v>621</v>
      </c>
    </row>
    <row r="2632" spans="12:13">
      <c r="L2632" s="69">
        <v>496225</v>
      </c>
      <c r="M2632" t="s">
        <v>623</v>
      </c>
    </row>
    <row r="2633" spans="12:13">
      <c r="L2633" s="69">
        <v>496226</v>
      </c>
      <c r="M2633" t="s">
        <v>625</v>
      </c>
    </row>
    <row r="2634" spans="12:13">
      <c r="L2634" s="69">
        <v>496227</v>
      </c>
      <c r="M2634" t="s">
        <v>2003</v>
      </c>
    </row>
    <row r="2635" spans="12:13">
      <c r="L2635" s="69">
        <v>496228</v>
      </c>
      <c r="M2635" t="s">
        <v>2004</v>
      </c>
    </row>
    <row r="2636" spans="12:13">
      <c r="L2636" s="69">
        <v>499000</v>
      </c>
      <c r="M2636" t="s">
        <v>2005</v>
      </c>
    </row>
    <row r="2637" spans="12:13">
      <c r="L2637" s="69">
        <v>499100</v>
      </c>
      <c r="M2637" t="s">
        <v>2005</v>
      </c>
    </row>
    <row r="2638" spans="12:13">
      <c r="L2638" s="69">
        <v>499110</v>
      </c>
      <c r="M2638" t="s">
        <v>2006</v>
      </c>
    </row>
    <row r="2639" spans="12:13">
      <c r="L2639" s="69">
        <v>499111</v>
      </c>
      <c r="M2639" t="s">
        <v>2006</v>
      </c>
    </row>
    <row r="2640" spans="12:13">
      <c r="L2640" s="69">
        <v>499120</v>
      </c>
      <c r="M2640" t="s">
        <v>2007</v>
      </c>
    </row>
    <row r="2641" spans="12:13">
      <c r="L2641" s="69">
        <v>499121</v>
      </c>
      <c r="M2641" t="s">
        <v>2007</v>
      </c>
    </row>
    <row r="2642" spans="12:13">
      <c r="L2642" s="69">
        <v>500000</v>
      </c>
      <c r="M2642" t="s">
        <v>1966</v>
      </c>
    </row>
    <row r="2643" spans="12:13">
      <c r="L2643" s="69">
        <v>510000</v>
      </c>
      <c r="M2643" t="s">
        <v>1200</v>
      </c>
    </row>
    <row r="2644" spans="12:13">
      <c r="L2644" s="69">
        <v>511000</v>
      </c>
      <c r="M2644" t="s">
        <v>268</v>
      </c>
    </row>
    <row r="2645" spans="12:13">
      <c r="L2645" s="69">
        <v>511100</v>
      </c>
      <c r="M2645" t="s">
        <v>1967</v>
      </c>
    </row>
    <row r="2646" spans="12:13">
      <c r="L2646" s="69">
        <v>511110</v>
      </c>
      <c r="M2646" t="s">
        <v>2008</v>
      </c>
    </row>
    <row r="2647" spans="12:13">
      <c r="L2647" s="69">
        <v>511111</v>
      </c>
      <c r="M2647" t="s">
        <v>2009</v>
      </c>
    </row>
    <row r="2648" spans="12:13">
      <c r="L2648" s="69">
        <v>511112</v>
      </c>
      <c r="M2648" t="s">
        <v>2010</v>
      </c>
    </row>
    <row r="2649" spans="12:13">
      <c r="L2649" s="69">
        <v>511113</v>
      </c>
      <c r="M2649" t="s">
        <v>2011</v>
      </c>
    </row>
    <row r="2650" spans="12:13">
      <c r="L2650" s="69">
        <v>511118</v>
      </c>
      <c r="M2650" t="s">
        <v>2012</v>
      </c>
    </row>
    <row r="2651" spans="12:13">
      <c r="L2651" s="69">
        <v>511119</v>
      </c>
      <c r="M2651" t="s">
        <v>2013</v>
      </c>
    </row>
    <row r="2652" spans="12:13">
      <c r="L2652" s="69">
        <v>511120</v>
      </c>
      <c r="M2652" t="s">
        <v>2014</v>
      </c>
    </row>
    <row r="2653" spans="12:13">
      <c r="L2653" s="69">
        <v>511121</v>
      </c>
      <c r="M2653" t="s">
        <v>2015</v>
      </c>
    </row>
    <row r="2654" spans="12:13">
      <c r="L2654" s="69">
        <v>511122</v>
      </c>
      <c r="M2654" t="s">
        <v>2016</v>
      </c>
    </row>
    <row r="2655" spans="12:13">
      <c r="L2655" s="69">
        <v>511123</v>
      </c>
      <c r="M2655" t="s">
        <v>2017</v>
      </c>
    </row>
    <row r="2656" spans="12:13">
      <c r="L2656" s="69">
        <v>511124</v>
      </c>
      <c r="M2656" t="s">
        <v>2018</v>
      </c>
    </row>
    <row r="2657" spans="12:13">
      <c r="L2657" s="69">
        <v>511125</v>
      </c>
      <c r="M2657" t="s">
        <v>2019</v>
      </c>
    </row>
    <row r="2658" spans="12:13">
      <c r="L2658" s="69">
        <v>511126</v>
      </c>
      <c r="M2658" t="s">
        <v>2020</v>
      </c>
    </row>
    <row r="2659" spans="12:13">
      <c r="L2659" s="69">
        <v>511127</v>
      </c>
      <c r="M2659" t="s">
        <v>2021</v>
      </c>
    </row>
    <row r="2660" spans="12:13">
      <c r="L2660" s="69">
        <v>511129</v>
      </c>
      <c r="M2660" t="s">
        <v>2022</v>
      </c>
    </row>
    <row r="2661" spans="12:13">
      <c r="L2661" s="69">
        <v>511190</v>
      </c>
      <c r="M2661" t="s">
        <v>2023</v>
      </c>
    </row>
    <row r="2662" spans="12:13">
      <c r="L2662" s="69">
        <v>511191</v>
      </c>
      <c r="M2662" t="s">
        <v>2024</v>
      </c>
    </row>
    <row r="2663" spans="12:13">
      <c r="L2663" s="69">
        <v>511192</v>
      </c>
      <c r="M2663" t="s">
        <v>2025</v>
      </c>
    </row>
    <row r="2664" spans="12:13">
      <c r="L2664" s="69">
        <v>511193</v>
      </c>
      <c r="M2664" t="s">
        <v>2026</v>
      </c>
    </row>
    <row r="2665" spans="12:13">
      <c r="L2665" s="69">
        <v>511199</v>
      </c>
      <c r="M2665" t="s">
        <v>320</v>
      </c>
    </row>
    <row r="2666" spans="12:13">
      <c r="L2666" s="69">
        <v>511200</v>
      </c>
      <c r="M2666" t="s">
        <v>1968</v>
      </c>
    </row>
    <row r="2667" spans="12:13">
      <c r="L2667" s="69">
        <v>511210</v>
      </c>
      <c r="M2667" t="s">
        <v>2027</v>
      </c>
    </row>
    <row r="2668" spans="12:13">
      <c r="L2668" s="69">
        <v>511211</v>
      </c>
      <c r="M2668" t="s">
        <v>2028</v>
      </c>
    </row>
    <row r="2669" spans="12:13">
      <c r="L2669" s="69">
        <v>511212</v>
      </c>
      <c r="M2669" t="s">
        <v>2029</v>
      </c>
    </row>
    <row r="2670" spans="12:13">
      <c r="L2670" s="69">
        <v>511213</v>
      </c>
      <c r="M2670" t="s">
        <v>2030</v>
      </c>
    </row>
    <row r="2671" spans="12:13">
      <c r="L2671" s="69">
        <v>511219</v>
      </c>
      <c r="M2671" t="s">
        <v>2031</v>
      </c>
    </row>
    <row r="2672" spans="12:13">
      <c r="L2672" s="69">
        <v>511220</v>
      </c>
      <c r="M2672" t="s">
        <v>2032</v>
      </c>
    </row>
    <row r="2673" spans="12:13">
      <c r="L2673" s="69">
        <v>511221</v>
      </c>
      <c r="M2673" t="s">
        <v>2033</v>
      </c>
    </row>
    <row r="2674" spans="12:13">
      <c r="L2674" s="69">
        <v>511222</v>
      </c>
      <c r="M2674" t="s">
        <v>279</v>
      </c>
    </row>
    <row r="2675" spans="12:13">
      <c r="L2675" s="69">
        <v>511223</v>
      </c>
      <c r="M2675" t="s">
        <v>286</v>
      </c>
    </row>
    <row r="2676" spans="12:13">
      <c r="L2676" s="69">
        <v>511224</v>
      </c>
      <c r="M2676" t="s">
        <v>2034</v>
      </c>
    </row>
    <row r="2677" spans="12:13">
      <c r="L2677" s="69">
        <v>511225</v>
      </c>
      <c r="M2677" t="s">
        <v>2035</v>
      </c>
    </row>
    <row r="2678" spans="12:13">
      <c r="L2678" s="69">
        <v>511226</v>
      </c>
      <c r="M2678" t="s">
        <v>2036</v>
      </c>
    </row>
    <row r="2679" spans="12:13">
      <c r="L2679" s="69">
        <v>511227</v>
      </c>
      <c r="M2679" t="s">
        <v>289</v>
      </c>
    </row>
    <row r="2680" spans="12:13">
      <c r="L2680" s="69">
        <v>511228</v>
      </c>
      <c r="M2680" t="s">
        <v>290</v>
      </c>
    </row>
    <row r="2681" spans="12:13">
      <c r="L2681" s="69">
        <v>511230</v>
      </c>
      <c r="M2681" t="s">
        <v>2037</v>
      </c>
    </row>
    <row r="2682" spans="12:13">
      <c r="L2682" s="69">
        <v>511231</v>
      </c>
      <c r="M2682" t="s">
        <v>2038</v>
      </c>
    </row>
    <row r="2683" spans="12:13">
      <c r="L2683" s="69">
        <v>511232</v>
      </c>
      <c r="M2683" t="s">
        <v>297</v>
      </c>
    </row>
    <row r="2684" spans="12:13">
      <c r="L2684" s="69">
        <v>511233</v>
      </c>
      <c r="M2684" t="s">
        <v>298</v>
      </c>
    </row>
    <row r="2685" spans="12:13">
      <c r="L2685" s="69">
        <v>511240</v>
      </c>
      <c r="M2685" t="s">
        <v>2039</v>
      </c>
    </row>
    <row r="2686" spans="12:13">
      <c r="L2686" s="69">
        <v>511241</v>
      </c>
      <c r="M2686" t="s">
        <v>305</v>
      </c>
    </row>
    <row r="2687" spans="12:13">
      <c r="L2687" s="69">
        <v>511242</v>
      </c>
      <c r="M2687" t="s">
        <v>306</v>
      </c>
    </row>
    <row r="2688" spans="12:13">
      <c r="L2688" s="69">
        <v>511243</v>
      </c>
      <c r="M2688" t="s">
        <v>307</v>
      </c>
    </row>
    <row r="2689" spans="12:13">
      <c r="L2689" s="69">
        <v>511244</v>
      </c>
      <c r="M2689" t="s">
        <v>308</v>
      </c>
    </row>
    <row r="2690" spans="12:13">
      <c r="L2690" s="69">
        <v>511290</v>
      </c>
      <c r="M2690" t="s">
        <v>2040</v>
      </c>
    </row>
    <row r="2691" spans="12:13">
      <c r="L2691" s="69">
        <v>511291</v>
      </c>
      <c r="M2691" t="s">
        <v>2041</v>
      </c>
    </row>
    <row r="2692" spans="12:13">
      <c r="L2692" s="69">
        <v>511292</v>
      </c>
      <c r="M2692" t="s">
        <v>316</v>
      </c>
    </row>
    <row r="2693" spans="12:13">
      <c r="L2693" s="69">
        <v>511293</v>
      </c>
      <c r="M2693" t="s">
        <v>2042</v>
      </c>
    </row>
    <row r="2694" spans="12:13">
      <c r="L2694" s="69">
        <v>511294</v>
      </c>
      <c r="M2694" t="s">
        <v>318</v>
      </c>
    </row>
    <row r="2695" spans="12:13">
      <c r="L2695" s="69">
        <v>511295</v>
      </c>
      <c r="M2695" t="s">
        <v>319</v>
      </c>
    </row>
    <row r="2696" spans="12:13">
      <c r="L2696" s="69">
        <v>511296</v>
      </c>
      <c r="M2696" t="s">
        <v>2043</v>
      </c>
    </row>
    <row r="2697" spans="12:13">
      <c r="L2697" s="69">
        <v>511299</v>
      </c>
      <c r="M2697" t="s">
        <v>2040</v>
      </c>
    </row>
    <row r="2698" spans="12:13">
      <c r="L2698" s="69">
        <v>511300</v>
      </c>
      <c r="M2698" t="s">
        <v>1969</v>
      </c>
    </row>
    <row r="2699" spans="12:13">
      <c r="L2699" s="69">
        <v>511310</v>
      </c>
      <c r="M2699" t="s">
        <v>2044</v>
      </c>
    </row>
    <row r="2700" spans="12:13">
      <c r="L2700" s="69">
        <v>511311</v>
      </c>
      <c r="M2700" t="s">
        <v>2045</v>
      </c>
    </row>
    <row r="2701" spans="12:13">
      <c r="L2701" s="69">
        <v>511312</v>
      </c>
      <c r="M2701" t="s">
        <v>2046</v>
      </c>
    </row>
    <row r="2702" spans="12:13">
      <c r="L2702" s="69">
        <v>511313</v>
      </c>
      <c r="M2702" t="s">
        <v>2047</v>
      </c>
    </row>
    <row r="2703" spans="12:13">
      <c r="L2703" s="69">
        <v>511319</v>
      </c>
      <c r="M2703" t="s">
        <v>2048</v>
      </c>
    </row>
    <row r="2704" spans="12:13">
      <c r="L2704" s="69">
        <v>511320</v>
      </c>
      <c r="M2704" t="s">
        <v>2049</v>
      </c>
    </row>
    <row r="2705" spans="12:13">
      <c r="L2705" s="69">
        <v>511321</v>
      </c>
      <c r="M2705" t="s">
        <v>2049</v>
      </c>
    </row>
    <row r="2706" spans="12:13">
      <c r="L2706" s="69">
        <v>511322</v>
      </c>
      <c r="M2706" t="s">
        <v>2050</v>
      </c>
    </row>
    <row r="2707" spans="12:13">
      <c r="L2707" s="69">
        <v>511323</v>
      </c>
      <c r="M2707" t="s">
        <v>2051</v>
      </c>
    </row>
    <row r="2708" spans="12:13">
      <c r="L2708" s="69">
        <v>511324</v>
      </c>
      <c r="M2708" t="s">
        <v>2052</v>
      </c>
    </row>
    <row r="2709" spans="12:13">
      <c r="L2709" s="69">
        <v>511325</v>
      </c>
      <c r="M2709" t="s">
        <v>2053</v>
      </c>
    </row>
    <row r="2710" spans="12:13">
      <c r="L2710" s="69">
        <v>511326</v>
      </c>
      <c r="M2710" t="s">
        <v>2054</v>
      </c>
    </row>
    <row r="2711" spans="12:13">
      <c r="L2711" s="69">
        <v>511327</v>
      </c>
      <c r="M2711" t="s">
        <v>2055</v>
      </c>
    </row>
    <row r="2712" spans="12:13">
      <c r="L2712" s="69">
        <v>511328</v>
      </c>
      <c r="M2712" t="s">
        <v>2056</v>
      </c>
    </row>
    <row r="2713" spans="12:13">
      <c r="L2713" s="69">
        <v>511330</v>
      </c>
      <c r="M2713" t="s">
        <v>2057</v>
      </c>
    </row>
    <row r="2714" spans="12:13">
      <c r="L2714" s="69">
        <v>511331</v>
      </c>
      <c r="M2714" t="s">
        <v>2058</v>
      </c>
    </row>
    <row r="2715" spans="12:13">
      <c r="L2715" s="69">
        <v>511332</v>
      </c>
      <c r="M2715" t="s">
        <v>2059</v>
      </c>
    </row>
    <row r="2716" spans="12:13">
      <c r="L2716" s="69">
        <v>511333</v>
      </c>
      <c r="M2716" t="s">
        <v>2060</v>
      </c>
    </row>
    <row r="2717" spans="12:13">
      <c r="L2717" s="69">
        <v>511340</v>
      </c>
      <c r="M2717" t="s">
        <v>2061</v>
      </c>
    </row>
    <row r="2718" spans="12:13">
      <c r="L2718" s="69">
        <v>511341</v>
      </c>
      <c r="M2718" t="s">
        <v>2062</v>
      </c>
    </row>
    <row r="2719" spans="12:13">
      <c r="L2719" s="69">
        <v>511342</v>
      </c>
      <c r="M2719" t="s">
        <v>2063</v>
      </c>
    </row>
    <row r="2720" spans="12:13">
      <c r="L2720" s="69">
        <v>511343</v>
      </c>
      <c r="M2720" t="s">
        <v>2064</v>
      </c>
    </row>
    <row r="2721" spans="12:13">
      <c r="L2721" s="69">
        <v>511344</v>
      </c>
      <c r="M2721" t="s">
        <v>2065</v>
      </c>
    </row>
    <row r="2722" spans="12:13">
      <c r="L2722" s="69">
        <v>511390</v>
      </c>
      <c r="M2722" t="s">
        <v>2066</v>
      </c>
    </row>
    <row r="2723" spans="12:13">
      <c r="L2723" s="69">
        <v>511391</v>
      </c>
      <c r="M2723" t="s">
        <v>2067</v>
      </c>
    </row>
    <row r="2724" spans="12:13">
      <c r="L2724" s="69">
        <v>511392</v>
      </c>
      <c r="M2724" t="s">
        <v>2068</v>
      </c>
    </row>
    <row r="2725" spans="12:13">
      <c r="L2725" s="69">
        <v>511393</v>
      </c>
      <c r="M2725" t="s">
        <v>2069</v>
      </c>
    </row>
    <row r="2726" spans="12:13">
      <c r="L2726" s="69">
        <v>511394</v>
      </c>
      <c r="M2726" t="s">
        <v>2070</v>
      </c>
    </row>
    <row r="2727" spans="12:13">
      <c r="L2727" s="69">
        <v>511395</v>
      </c>
      <c r="M2727" t="s">
        <v>2071</v>
      </c>
    </row>
    <row r="2728" spans="12:13">
      <c r="L2728" s="69">
        <v>511396</v>
      </c>
      <c r="M2728" t="s">
        <v>2072</v>
      </c>
    </row>
    <row r="2729" spans="12:13">
      <c r="L2729" s="69">
        <v>511399</v>
      </c>
      <c r="M2729" t="s">
        <v>2066</v>
      </c>
    </row>
    <row r="2730" spans="12:13">
      <c r="L2730" s="69">
        <v>511400</v>
      </c>
      <c r="M2730" t="s">
        <v>1970</v>
      </c>
    </row>
    <row r="2731" spans="12:13">
      <c r="L2731" s="69">
        <v>511410</v>
      </c>
      <c r="M2731" t="s">
        <v>2073</v>
      </c>
    </row>
    <row r="2732" spans="12:13">
      <c r="L2732" s="69">
        <v>511411</v>
      </c>
      <c r="M2732" t="s">
        <v>2073</v>
      </c>
    </row>
    <row r="2733" spans="12:13">
      <c r="L2733" s="69">
        <v>511420</v>
      </c>
      <c r="M2733" t="s">
        <v>2074</v>
      </c>
    </row>
    <row r="2734" spans="12:13">
      <c r="L2734" s="69">
        <v>511421</v>
      </c>
      <c r="M2734" t="s">
        <v>2074</v>
      </c>
    </row>
    <row r="2735" spans="12:13">
      <c r="L2735" s="69">
        <v>511430</v>
      </c>
      <c r="M2735" t="s">
        <v>2075</v>
      </c>
    </row>
    <row r="2736" spans="12:13">
      <c r="L2736" s="69">
        <v>511431</v>
      </c>
      <c r="M2736" t="s">
        <v>2075</v>
      </c>
    </row>
    <row r="2737" spans="12:13">
      <c r="L2737" s="69">
        <v>511440</v>
      </c>
      <c r="M2737" t="s">
        <v>2076</v>
      </c>
    </row>
    <row r="2738" spans="12:13">
      <c r="L2738" s="69">
        <v>511441</v>
      </c>
      <c r="M2738" t="s">
        <v>2076</v>
      </c>
    </row>
    <row r="2739" spans="12:13">
      <c r="L2739" s="69">
        <v>511450</v>
      </c>
      <c r="M2739" t="s">
        <v>2077</v>
      </c>
    </row>
    <row r="2740" spans="12:13">
      <c r="L2740" s="69">
        <v>511451</v>
      </c>
      <c r="M2740" t="s">
        <v>2077</v>
      </c>
    </row>
    <row r="2741" spans="12:13">
      <c r="L2741" s="69">
        <v>512000</v>
      </c>
      <c r="M2741" t="s">
        <v>1971</v>
      </c>
    </row>
    <row r="2742" spans="12:13">
      <c r="L2742" s="69">
        <v>512100</v>
      </c>
      <c r="M2742" t="s">
        <v>325</v>
      </c>
    </row>
    <row r="2743" spans="12:13">
      <c r="L2743" s="69">
        <v>512110</v>
      </c>
      <c r="M2743" t="s">
        <v>326</v>
      </c>
    </row>
    <row r="2744" spans="12:13">
      <c r="L2744" s="69">
        <v>512111</v>
      </c>
      <c r="M2744" t="s">
        <v>2078</v>
      </c>
    </row>
    <row r="2745" spans="12:13">
      <c r="L2745" s="69">
        <v>512112</v>
      </c>
      <c r="M2745" t="s">
        <v>2079</v>
      </c>
    </row>
    <row r="2746" spans="12:13">
      <c r="L2746" s="69">
        <v>512113</v>
      </c>
      <c r="M2746" t="s">
        <v>2080</v>
      </c>
    </row>
    <row r="2747" spans="12:13">
      <c r="L2747" s="69">
        <v>512114</v>
      </c>
      <c r="M2747" t="s">
        <v>2081</v>
      </c>
    </row>
    <row r="2748" spans="12:13">
      <c r="L2748" s="69">
        <v>512115</v>
      </c>
      <c r="M2748" t="s">
        <v>2082</v>
      </c>
    </row>
    <row r="2749" spans="12:13">
      <c r="L2749" s="69">
        <v>512116</v>
      </c>
      <c r="M2749" t="s">
        <v>2083</v>
      </c>
    </row>
    <row r="2750" spans="12:13">
      <c r="L2750" s="69">
        <v>512117</v>
      </c>
      <c r="M2750" t="s">
        <v>2084</v>
      </c>
    </row>
    <row r="2751" spans="12:13">
      <c r="L2751" s="69">
        <v>512120</v>
      </c>
      <c r="M2751" t="s">
        <v>327</v>
      </c>
    </row>
    <row r="2752" spans="12:13">
      <c r="L2752" s="69">
        <v>512121</v>
      </c>
      <c r="M2752" t="s">
        <v>2085</v>
      </c>
    </row>
    <row r="2753" spans="12:13">
      <c r="L2753" s="69">
        <v>512122</v>
      </c>
      <c r="M2753" t="s">
        <v>2086</v>
      </c>
    </row>
    <row r="2754" spans="12:13">
      <c r="L2754" s="69">
        <v>512130</v>
      </c>
      <c r="M2754" t="s">
        <v>328</v>
      </c>
    </row>
    <row r="2755" spans="12:13">
      <c r="L2755" s="69">
        <v>512131</v>
      </c>
      <c r="M2755" t="s">
        <v>2087</v>
      </c>
    </row>
    <row r="2756" spans="12:13">
      <c r="L2756" s="69">
        <v>512132</v>
      </c>
      <c r="M2756" t="s">
        <v>2088</v>
      </c>
    </row>
    <row r="2757" spans="12:13">
      <c r="L2757" s="69">
        <v>512140</v>
      </c>
      <c r="M2757" t="s">
        <v>330</v>
      </c>
    </row>
    <row r="2758" spans="12:13">
      <c r="L2758" s="69">
        <v>512141</v>
      </c>
      <c r="M2758" t="s">
        <v>330</v>
      </c>
    </row>
    <row r="2759" spans="12:13">
      <c r="L2759" s="69">
        <v>512200</v>
      </c>
      <c r="M2759" t="s">
        <v>334</v>
      </c>
    </row>
    <row r="2760" spans="12:13">
      <c r="L2760" s="69">
        <v>512210</v>
      </c>
      <c r="M2760" t="s">
        <v>335</v>
      </c>
    </row>
    <row r="2761" spans="12:13">
      <c r="L2761" s="69">
        <v>512211</v>
      </c>
      <c r="M2761" t="s">
        <v>1536</v>
      </c>
    </row>
    <row r="2762" spans="12:13">
      <c r="L2762" s="69">
        <v>512212</v>
      </c>
      <c r="M2762" t="s">
        <v>1539</v>
      </c>
    </row>
    <row r="2763" spans="12:13">
      <c r="L2763" s="69">
        <v>512213</v>
      </c>
      <c r="M2763" t="s">
        <v>2089</v>
      </c>
    </row>
    <row r="2764" spans="12:13">
      <c r="L2764" s="69">
        <v>512220</v>
      </c>
      <c r="M2764" t="s">
        <v>336</v>
      </c>
    </row>
    <row r="2765" spans="12:13">
      <c r="L2765" s="69">
        <v>512221</v>
      </c>
      <c r="M2765" t="s">
        <v>336</v>
      </c>
    </row>
    <row r="2766" spans="12:13">
      <c r="L2766" s="69">
        <v>512222</v>
      </c>
      <c r="M2766" t="s">
        <v>2090</v>
      </c>
    </row>
    <row r="2767" spans="12:13">
      <c r="L2767" s="69">
        <v>512223</v>
      </c>
      <c r="M2767" t="s">
        <v>2091</v>
      </c>
    </row>
    <row r="2768" spans="12:13">
      <c r="L2768" s="69">
        <v>512230</v>
      </c>
      <c r="M2768" t="s">
        <v>337</v>
      </c>
    </row>
    <row r="2769" spans="12:13">
      <c r="L2769" s="69">
        <v>512231</v>
      </c>
      <c r="M2769" t="s">
        <v>2092</v>
      </c>
    </row>
    <row r="2770" spans="12:13">
      <c r="L2770" s="69">
        <v>512232</v>
      </c>
      <c r="M2770" t="s">
        <v>1366</v>
      </c>
    </row>
    <row r="2771" spans="12:13">
      <c r="L2771" s="69">
        <v>512233</v>
      </c>
      <c r="M2771" t="s">
        <v>2093</v>
      </c>
    </row>
    <row r="2772" spans="12:13">
      <c r="L2772" s="69">
        <v>512240</v>
      </c>
      <c r="M2772" t="s">
        <v>338</v>
      </c>
    </row>
    <row r="2773" spans="12:13">
      <c r="L2773" s="69">
        <v>512241</v>
      </c>
      <c r="M2773" t="s">
        <v>2094</v>
      </c>
    </row>
    <row r="2774" spans="12:13">
      <c r="L2774" s="69">
        <v>512242</v>
      </c>
      <c r="M2774" t="s">
        <v>2095</v>
      </c>
    </row>
    <row r="2775" spans="12:13">
      <c r="L2775" s="69">
        <v>512250</v>
      </c>
      <c r="M2775" t="s">
        <v>339</v>
      </c>
    </row>
    <row r="2776" spans="12:13">
      <c r="L2776" s="69">
        <v>512251</v>
      </c>
      <c r="M2776" t="s">
        <v>2096</v>
      </c>
    </row>
    <row r="2777" spans="12:13">
      <c r="L2777" s="69">
        <v>512252</v>
      </c>
      <c r="M2777" t="s">
        <v>2097</v>
      </c>
    </row>
    <row r="2778" spans="12:13">
      <c r="L2778" s="69">
        <v>512260</v>
      </c>
      <c r="M2778" t="s">
        <v>340</v>
      </c>
    </row>
    <row r="2779" spans="12:13">
      <c r="L2779" s="69">
        <v>512261</v>
      </c>
      <c r="M2779" t="s">
        <v>340</v>
      </c>
    </row>
    <row r="2780" spans="12:13">
      <c r="L2780" s="69">
        <v>512300</v>
      </c>
      <c r="M2780" t="s">
        <v>344</v>
      </c>
    </row>
    <row r="2781" spans="12:13">
      <c r="L2781" s="69">
        <v>512310</v>
      </c>
      <c r="M2781" t="s">
        <v>2098</v>
      </c>
    </row>
    <row r="2782" spans="12:13">
      <c r="L2782" s="69">
        <v>512311</v>
      </c>
      <c r="M2782" t="s">
        <v>2098</v>
      </c>
    </row>
    <row r="2783" spans="12:13">
      <c r="L2783" s="69">
        <v>512320</v>
      </c>
      <c r="M2783" t="s">
        <v>2099</v>
      </c>
    </row>
    <row r="2784" spans="12:13">
      <c r="L2784" s="69">
        <v>512321</v>
      </c>
      <c r="M2784" t="s">
        <v>2099</v>
      </c>
    </row>
    <row r="2785" spans="12:13">
      <c r="L2785" s="69">
        <v>512400</v>
      </c>
      <c r="M2785" t="s">
        <v>349</v>
      </c>
    </row>
    <row r="2786" spans="12:13">
      <c r="L2786" s="69">
        <v>512410</v>
      </c>
      <c r="M2786" t="s">
        <v>349</v>
      </c>
    </row>
    <row r="2787" spans="12:13">
      <c r="L2787" s="69">
        <v>512411</v>
      </c>
      <c r="M2787" t="s">
        <v>349</v>
      </c>
    </row>
    <row r="2788" spans="12:13">
      <c r="L2788" s="69">
        <v>512420</v>
      </c>
      <c r="M2788" t="s">
        <v>350</v>
      </c>
    </row>
    <row r="2789" spans="12:13">
      <c r="L2789" s="69">
        <v>512421</v>
      </c>
      <c r="M2789" t="s">
        <v>350</v>
      </c>
    </row>
    <row r="2790" spans="12:13">
      <c r="L2790" s="69">
        <v>512500</v>
      </c>
      <c r="M2790" t="s">
        <v>354</v>
      </c>
    </row>
    <row r="2791" spans="12:13">
      <c r="L2791" s="69">
        <v>512510</v>
      </c>
      <c r="M2791" t="s">
        <v>355</v>
      </c>
    </row>
    <row r="2792" spans="12:13">
      <c r="L2792" s="69">
        <v>512511</v>
      </c>
      <c r="M2792" t="s">
        <v>355</v>
      </c>
    </row>
    <row r="2793" spans="12:13">
      <c r="L2793" s="69">
        <v>512520</v>
      </c>
      <c r="M2793" t="s">
        <v>356</v>
      </c>
    </row>
    <row r="2794" spans="12:13">
      <c r="L2794" s="69">
        <v>512521</v>
      </c>
      <c r="M2794" t="s">
        <v>356</v>
      </c>
    </row>
    <row r="2795" spans="12:13">
      <c r="L2795" s="69">
        <v>512530</v>
      </c>
      <c r="M2795" t="s">
        <v>357</v>
      </c>
    </row>
    <row r="2796" spans="12:13">
      <c r="L2796" s="69">
        <v>512531</v>
      </c>
      <c r="M2796" t="s">
        <v>357</v>
      </c>
    </row>
    <row r="2797" spans="12:13">
      <c r="L2797" s="69">
        <v>512540</v>
      </c>
      <c r="M2797" t="s">
        <v>359</v>
      </c>
    </row>
    <row r="2798" spans="12:13">
      <c r="L2798" s="69">
        <v>512541</v>
      </c>
      <c r="M2798" t="s">
        <v>359</v>
      </c>
    </row>
    <row r="2799" spans="12:13">
      <c r="L2799" s="69">
        <v>512600</v>
      </c>
      <c r="M2799" t="s">
        <v>363</v>
      </c>
    </row>
    <row r="2800" spans="12:13">
      <c r="L2800" s="69">
        <v>512610</v>
      </c>
      <c r="M2800" t="s">
        <v>364</v>
      </c>
    </row>
    <row r="2801" spans="12:13">
      <c r="L2801" s="69">
        <v>512611</v>
      </c>
      <c r="M2801" t="s">
        <v>364</v>
      </c>
    </row>
    <row r="2802" spans="12:13">
      <c r="L2802" s="69">
        <v>512620</v>
      </c>
      <c r="M2802" t="s">
        <v>365</v>
      </c>
    </row>
    <row r="2803" spans="12:13">
      <c r="L2803" s="69">
        <v>512621</v>
      </c>
      <c r="M2803" t="s">
        <v>365</v>
      </c>
    </row>
    <row r="2804" spans="12:13">
      <c r="L2804" s="69">
        <v>512630</v>
      </c>
      <c r="M2804" t="s">
        <v>366</v>
      </c>
    </row>
    <row r="2805" spans="12:13">
      <c r="L2805" s="69">
        <v>512631</v>
      </c>
      <c r="M2805" t="s">
        <v>366</v>
      </c>
    </row>
    <row r="2806" spans="12:13">
      <c r="L2806" s="69">
        <v>512640</v>
      </c>
      <c r="M2806" t="s">
        <v>367</v>
      </c>
    </row>
    <row r="2807" spans="12:13">
      <c r="L2807" s="69">
        <v>512641</v>
      </c>
      <c r="M2807" t="s">
        <v>367</v>
      </c>
    </row>
    <row r="2808" spans="12:13">
      <c r="L2808" s="69">
        <v>512650</v>
      </c>
      <c r="M2808" t="s">
        <v>368</v>
      </c>
    </row>
    <row r="2809" spans="12:13">
      <c r="L2809" s="69">
        <v>512651</v>
      </c>
      <c r="M2809" t="s">
        <v>368</v>
      </c>
    </row>
    <row r="2810" spans="12:13">
      <c r="L2810" s="69">
        <v>512700</v>
      </c>
      <c r="M2810" t="s">
        <v>372</v>
      </c>
    </row>
    <row r="2811" spans="12:13">
      <c r="L2811" s="69">
        <v>512710</v>
      </c>
      <c r="M2811" t="s">
        <v>372</v>
      </c>
    </row>
    <row r="2812" spans="12:13">
      <c r="L2812" s="69">
        <v>512711</v>
      </c>
      <c r="M2812" t="s">
        <v>372</v>
      </c>
    </row>
    <row r="2813" spans="12:13">
      <c r="L2813" s="69">
        <v>512720</v>
      </c>
      <c r="M2813" t="s">
        <v>2100</v>
      </c>
    </row>
    <row r="2814" spans="12:13">
      <c r="L2814" s="69">
        <v>512721</v>
      </c>
      <c r="M2814" t="s">
        <v>2100</v>
      </c>
    </row>
    <row r="2815" spans="12:13">
      <c r="L2815" s="69">
        <v>512800</v>
      </c>
      <c r="M2815" t="s">
        <v>377</v>
      </c>
    </row>
    <row r="2816" spans="12:13">
      <c r="L2816" s="69">
        <v>512810</v>
      </c>
      <c r="M2816" t="s">
        <v>377</v>
      </c>
    </row>
    <row r="2817" spans="12:13">
      <c r="L2817" s="69">
        <v>512811</v>
      </c>
      <c r="M2817" t="s">
        <v>377</v>
      </c>
    </row>
    <row r="2818" spans="12:13">
      <c r="L2818" s="69">
        <v>512820</v>
      </c>
      <c r="M2818" t="s">
        <v>2101</v>
      </c>
    </row>
    <row r="2819" spans="12:13">
      <c r="L2819" s="69">
        <v>512821</v>
      </c>
      <c r="M2819" t="s">
        <v>2101</v>
      </c>
    </row>
    <row r="2820" spans="12:13">
      <c r="L2820" s="69">
        <v>512900</v>
      </c>
      <c r="M2820" t="s">
        <v>382</v>
      </c>
    </row>
    <row r="2821" spans="12:13">
      <c r="L2821" s="69">
        <v>512910</v>
      </c>
      <c r="M2821" t="s">
        <v>2102</v>
      </c>
    </row>
    <row r="2822" spans="12:13">
      <c r="L2822" s="69">
        <v>512911</v>
      </c>
      <c r="M2822" t="s">
        <v>2102</v>
      </c>
    </row>
    <row r="2823" spans="12:13">
      <c r="L2823" s="69">
        <v>512920</v>
      </c>
      <c r="M2823" t="s">
        <v>384</v>
      </c>
    </row>
    <row r="2824" spans="12:13">
      <c r="L2824" s="69">
        <v>512921</v>
      </c>
      <c r="M2824" t="s">
        <v>384</v>
      </c>
    </row>
    <row r="2825" spans="12:13">
      <c r="L2825" s="69">
        <v>512930</v>
      </c>
      <c r="M2825" t="s">
        <v>385</v>
      </c>
    </row>
    <row r="2826" spans="12:13">
      <c r="L2826" s="69">
        <v>512931</v>
      </c>
      <c r="M2826" t="s">
        <v>2103</v>
      </c>
    </row>
    <row r="2827" spans="12:13">
      <c r="L2827" s="69">
        <v>512932</v>
      </c>
      <c r="M2827" t="s">
        <v>2104</v>
      </c>
    </row>
    <row r="2828" spans="12:13">
      <c r="L2828" s="69">
        <v>512933</v>
      </c>
      <c r="M2828" t="s">
        <v>2105</v>
      </c>
    </row>
    <row r="2829" spans="12:13">
      <c r="L2829" s="69">
        <v>512940</v>
      </c>
      <c r="M2829" t="s">
        <v>2106</v>
      </c>
    </row>
    <row r="2830" spans="12:13">
      <c r="L2830" s="69">
        <v>512941</v>
      </c>
      <c r="M2830" t="s">
        <v>2106</v>
      </c>
    </row>
    <row r="2831" spans="12:13">
      <c r="L2831" s="69">
        <v>512950</v>
      </c>
      <c r="M2831" t="s">
        <v>2107</v>
      </c>
    </row>
    <row r="2832" spans="12:13">
      <c r="L2832" s="69">
        <v>512951</v>
      </c>
      <c r="M2832" t="s">
        <v>2107</v>
      </c>
    </row>
    <row r="2833" spans="12:13">
      <c r="L2833" s="69">
        <v>513000</v>
      </c>
      <c r="M2833" t="s">
        <v>391</v>
      </c>
    </row>
    <row r="2834" spans="12:13">
      <c r="L2834" s="69">
        <v>513100</v>
      </c>
      <c r="M2834" t="s">
        <v>391</v>
      </c>
    </row>
    <row r="2835" spans="12:13">
      <c r="L2835" s="69">
        <v>513110</v>
      </c>
      <c r="M2835" t="s">
        <v>391</v>
      </c>
    </row>
    <row r="2836" spans="12:13">
      <c r="L2836" s="69">
        <v>513111</v>
      </c>
      <c r="M2836" t="s">
        <v>391</v>
      </c>
    </row>
    <row r="2837" spans="12:13">
      <c r="L2837" s="69">
        <v>513119</v>
      </c>
      <c r="M2837" t="s">
        <v>2108</v>
      </c>
    </row>
    <row r="2838" spans="12:13">
      <c r="L2838" s="69">
        <v>514000</v>
      </c>
      <c r="M2838" t="s">
        <v>396</v>
      </c>
    </row>
    <row r="2839" spans="12:13">
      <c r="L2839" s="69">
        <v>514100</v>
      </c>
      <c r="M2839" t="s">
        <v>396</v>
      </c>
    </row>
    <row r="2840" spans="12:13">
      <c r="L2840" s="69">
        <v>514110</v>
      </c>
      <c r="M2840" t="s">
        <v>2109</v>
      </c>
    </row>
    <row r="2841" spans="12:13">
      <c r="L2841" s="69">
        <v>514111</v>
      </c>
      <c r="M2841" t="s">
        <v>2110</v>
      </c>
    </row>
    <row r="2842" spans="12:13">
      <c r="L2842" s="69">
        <v>514112</v>
      </c>
      <c r="M2842" t="s">
        <v>2111</v>
      </c>
    </row>
    <row r="2843" spans="12:13">
      <c r="L2843" s="69">
        <v>514113</v>
      </c>
      <c r="M2843" t="s">
        <v>2112</v>
      </c>
    </row>
    <row r="2844" spans="12:13">
      <c r="L2844" s="69">
        <v>514114</v>
      </c>
      <c r="M2844" t="s">
        <v>2113</v>
      </c>
    </row>
    <row r="2845" spans="12:13">
      <c r="L2845" s="69">
        <v>514115</v>
      </c>
      <c r="M2845" t="s">
        <v>2114</v>
      </c>
    </row>
    <row r="2846" spans="12:13">
      <c r="L2846" s="69">
        <v>514116</v>
      </c>
      <c r="M2846" t="s">
        <v>2115</v>
      </c>
    </row>
    <row r="2847" spans="12:13">
      <c r="L2847" s="69">
        <v>514117</v>
      </c>
      <c r="M2847" t="s">
        <v>2116</v>
      </c>
    </row>
    <row r="2848" spans="12:13">
      <c r="L2848" s="69">
        <v>514118</v>
      </c>
      <c r="M2848" t="s">
        <v>2117</v>
      </c>
    </row>
    <row r="2849" spans="12:13">
      <c r="L2849" s="69">
        <v>514119</v>
      </c>
      <c r="M2849" t="s">
        <v>2118</v>
      </c>
    </row>
    <row r="2850" spans="12:13">
      <c r="L2850" s="69">
        <v>514120</v>
      </c>
      <c r="M2850" t="s">
        <v>398</v>
      </c>
    </row>
    <row r="2851" spans="12:13">
      <c r="L2851" s="69">
        <v>514121</v>
      </c>
      <c r="M2851" t="s">
        <v>398</v>
      </c>
    </row>
    <row r="2852" spans="12:13">
      <c r="L2852" s="69">
        <v>515000</v>
      </c>
      <c r="M2852" t="s">
        <v>488</v>
      </c>
    </row>
    <row r="2853" spans="12:13">
      <c r="L2853" s="69">
        <v>515100</v>
      </c>
      <c r="M2853" t="s">
        <v>488</v>
      </c>
    </row>
    <row r="2854" spans="12:13">
      <c r="L2854" s="69">
        <v>515110</v>
      </c>
      <c r="M2854" t="s">
        <v>489</v>
      </c>
    </row>
    <row r="2855" spans="12:13">
      <c r="L2855" s="69">
        <v>515111</v>
      </c>
      <c r="M2855" t="s">
        <v>489</v>
      </c>
    </row>
    <row r="2856" spans="12:13">
      <c r="L2856" s="69">
        <v>515120</v>
      </c>
      <c r="M2856" t="s">
        <v>493</v>
      </c>
    </row>
    <row r="2857" spans="12:13">
      <c r="L2857" s="69">
        <v>515121</v>
      </c>
      <c r="M2857" t="s">
        <v>2119</v>
      </c>
    </row>
    <row r="2858" spans="12:13">
      <c r="L2858" s="69">
        <v>515122</v>
      </c>
      <c r="M2858" t="s">
        <v>2120</v>
      </c>
    </row>
    <row r="2859" spans="12:13">
      <c r="L2859" s="69">
        <v>515123</v>
      </c>
      <c r="M2859" t="s">
        <v>2121</v>
      </c>
    </row>
    <row r="2860" spans="12:13">
      <c r="L2860" s="69">
        <v>515124</v>
      </c>
      <c r="M2860" t="s">
        <v>2122</v>
      </c>
    </row>
    <row r="2861" spans="12:13">
      <c r="L2861" s="69">
        <v>515125</v>
      </c>
      <c r="M2861" t="s">
        <v>2123</v>
      </c>
    </row>
    <row r="2862" spans="12:13">
      <c r="L2862" s="69">
        <v>515126</v>
      </c>
      <c r="M2862" t="s">
        <v>2124</v>
      </c>
    </row>
    <row r="2863" spans="12:13">
      <c r="L2863" s="69">
        <v>515129</v>
      </c>
      <c r="M2863" t="s">
        <v>2125</v>
      </c>
    </row>
    <row r="2864" spans="12:13">
      <c r="L2864" s="69">
        <v>515190</v>
      </c>
      <c r="M2864" t="s">
        <v>509</v>
      </c>
    </row>
    <row r="2865" spans="12:13">
      <c r="L2865" s="69">
        <v>515191</v>
      </c>
      <c r="M2865" t="s">
        <v>2126</v>
      </c>
    </row>
    <row r="2866" spans="12:13">
      <c r="L2866" s="69">
        <v>515192</v>
      </c>
      <c r="M2866" t="s">
        <v>2127</v>
      </c>
    </row>
    <row r="2867" spans="12:13">
      <c r="L2867" s="69">
        <v>515193</v>
      </c>
      <c r="M2867" t="s">
        <v>2128</v>
      </c>
    </row>
    <row r="2868" spans="12:13">
      <c r="L2868" s="69">
        <v>515194</v>
      </c>
      <c r="M2868" t="s">
        <v>2129</v>
      </c>
    </row>
    <row r="2869" spans="12:13">
      <c r="L2869" s="69">
        <v>515195</v>
      </c>
      <c r="M2869" t="s">
        <v>2130</v>
      </c>
    </row>
    <row r="2870" spans="12:13">
      <c r="L2870" s="69">
        <v>515196</v>
      </c>
      <c r="M2870" t="s">
        <v>2131</v>
      </c>
    </row>
    <row r="2871" spans="12:13">
      <c r="L2871" s="69">
        <v>515197</v>
      </c>
      <c r="M2871" t="s">
        <v>2132</v>
      </c>
    </row>
    <row r="2872" spans="12:13">
      <c r="L2872" s="69">
        <v>515199</v>
      </c>
      <c r="M2872" t="s">
        <v>509</v>
      </c>
    </row>
    <row r="2873" spans="12:13">
      <c r="L2873" s="69">
        <v>520000</v>
      </c>
      <c r="M2873" t="s">
        <v>520</v>
      </c>
    </row>
    <row r="2874" spans="12:13">
      <c r="L2874" s="69">
        <v>521000</v>
      </c>
      <c r="M2874" t="s">
        <v>521</v>
      </c>
    </row>
    <row r="2875" spans="12:13">
      <c r="L2875" s="69">
        <v>521100</v>
      </c>
      <c r="M2875" t="s">
        <v>521</v>
      </c>
    </row>
    <row r="2876" spans="12:13">
      <c r="L2876" s="69">
        <v>521110</v>
      </c>
      <c r="M2876" t="s">
        <v>521</v>
      </c>
    </row>
    <row r="2877" spans="12:13">
      <c r="L2877" s="69">
        <v>521111</v>
      </c>
      <c r="M2877" t="s">
        <v>521</v>
      </c>
    </row>
    <row r="2878" spans="12:13">
      <c r="L2878" s="69">
        <v>522000</v>
      </c>
      <c r="M2878" t="s">
        <v>525</v>
      </c>
    </row>
    <row r="2879" spans="12:13">
      <c r="L2879" s="69">
        <v>522100</v>
      </c>
      <c r="M2879" t="s">
        <v>1972</v>
      </c>
    </row>
    <row r="2880" spans="12:13">
      <c r="L2880" s="69">
        <v>522110</v>
      </c>
      <c r="M2880" t="s">
        <v>1972</v>
      </c>
    </row>
    <row r="2881" spans="12:13">
      <c r="L2881" s="69">
        <v>522111</v>
      </c>
      <c r="M2881" t="s">
        <v>1972</v>
      </c>
    </row>
    <row r="2882" spans="12:13">
      <c r="L2882" s="69">
        <v>522200</v>
      </c>
      <c r="M2882" t="s">
        <v>1204</v>
      </c>
    </row>
    <row r="2883" spans="12:13">
      <c r="L2883" s="69">
        <v>522210</v>
      </c>
      <c r="M2883" t="s">
        <v>1204</v>
      </c>
    </row>
    <row r="2884" spans="12:13">
      <c r="L2884" s="69">
        <v>522211</v>
      </c>
      <c r="M2884" t="s">
        <v>1204</v>
      </c>
    </row>
    <row r="2885" spans="12:13">
      <c r="L2885" s="69">
        <v>522300</v>
      </c>
      <c r="M2885" t="s">
        <v>1205</v>
      </c>
    </row>
    <row r="2886" spans="12:13">
      <c r="L2886" s="69">
        <v>522310</v>
      </c>
      <c r="M2886" t="s">
        <v>1205</v>
      </c>
    </row>
    <row r="2887" spans="12:13">
      <c r="L2887" s="69">
        <v>522311</v>
      </c>
      <c r="M2887" t="s">
        <v>1205</v>
      </c>
    </row>
    <row r="2888" spans="12:13">
      <c r="L2888" s="69">
        <v>523000</v>
      </c>
      <c r="M2888" t="s">
        <v>1206</v>
      </c>
    </row>
    <row r="2889" spans="12:13">
      <c r="L2889" s="69">
        <v>523100</v>
      </c>
      <c r="M2889" t="s">
        <v>1206</v>
      </c>
    </row>
    <row r="2890" spans="12:13">
      <c r="L2890" s="69">
        <v>523110</v>
      </c>
      <c r="M2890" t="s">
        <v>1206</v>
      </c>
    </row>
    <row r="2891" spans="12:13">
      <c r="L2891" s="69">
        <v>523111</v>
      </c>
      <c r="M2891" t="s">
        <v>1206</v>
      </c>
    </row>
    <row r="2892" spans="12:13">
      <c r="L2892" s="69">
        <v>530000</v>
      </c>
      <c r="M2892" t="s">
        <v>402</v>
      </c>
    </row>
    <row r="2893" spans="12:13">
      <c r="L2893" s="69">
        <v>531000</v>
      </c>
      <c r="M2893" t="s">
        <v>402</v>
      </c>
    </row>
    <row r="2894" spans="12:13">
      <c r="L2894" s="69">
        <v>531100</v>
      </c>
      <c r="M2894" t="s">
        <v>402</v>
      </c>
    </row>
    <row r="2895" spans="12:13">
      <c r="L2895" s="69">
        <v>531110</v>
      </c>
      <c r="M2895" t="s">
        <v>402</v>
      </c>
    </row>
    <row r="2896" spans="12:13">
      <c r="L2896" s="69">
        <v>531111</v>
      </c>
      <c r="M2896" t="s">
        <v>402</v>
      </c>
    </row>
    <row r="2897" spans="12:13">
      <c r="L2897" s="69">
        <v>540000</v>
      </c>
      <c r="M2897" t="s">
        <v>411</v>
      </c>
    </row>
    <row r="2898" spans="12:13">
      <c r="L2898" s="69">
        <v>541000</v>
      </c>
      <c r="M2898" t="s">
        <v>412</v>
      </c>
    </row>
    <row r="2899" spans="12:13">
      <c r="L2899" s="69">
        <v>541100</v>
      </c>
      <c r="M2899" t="s">
        <v>412</v>
      </c>
    </row>
    <row r="2900" spans="12:13">
      <c r="L2900" s="69">
        <v>541110</v>
      </c>
      <c r="M2900" t="s">
        <v>2133</v>
      </c>
    </row>
    <row r="2901" spans="12:13">
      <c r="L2901" s="69">
        <v>541111</v>
      </c>
      <c r="M2901" t="s">
        <v>2134</v>
      </c>
    </row>
    <row r="2902" spans="12:13">
      <c r="L2902" s="69">
        <v>541112</v>
      </c>
      <c r="M2902" t="s">
        <v>2135</v>
      </c>
    </row>
    <row r="2903" spans="12:13">
      <c r="L2903" s="69">
        <v>541113</v>
      </c>
      <c r="M2903" t="s">
        <v>2136</v>
      </c>
    </row>
    <row r="2904" spans="12:13">
      <c r="L2904" s="69">
        <v>541114</v>
      </c>
      <c r="M2904" t="s">
        <v>2137</v>
      </c>
    </row>
    <row r="2905" spans="12:13">
      <c r="L2905" s="69">
        <v>541115</v>
      </c>
      <c r="M2905" t="s">
        <v>2138</v>
      </c>
    </row>
    <row r="2906" spans="12:13">
      <c r="L2906" s="69">
        <v>541120</v>
      </c>
      <c r="M2906" t="s">
        <v>2139</v>
      </c>
    </row>
    <row r="2907" spans="12:13">
      <c r="L2907" s="69">
        <v>541121</v>
      </c>
      <c r="M2907" t="s">
        <v>2140</v>
      </c>
    </row>
    <row r="2908" spans="12:13">
      <c r="L2908" s="69">
        <v>541122</v>
      </c>
      <c r="M2908" t="s">
        <v>2141</v>
      </c>
    </row>
    <row r="2909" spans="12:13">
      <c r="L2909" s="69">
        <v>541123</v>
      </c>
      <c r="M2909" t="s">
        <v>2142</v>
      </c>
    </row>
    <row r="2910" spans="12:13">
      <c r="L2910" s="69">
        <v>541124</v>
      </c>
      <c r="M2910" t="s">
        <v>2143</v>
      </c>
    </row>
    <row r="2911" spans="12:13">
      <c r="L2911" s="69">
        <v>541125</v>
      </c>
      <c r="M2911" t="s">
        <v>2144</v>
      </c>
    </row>
    <row r="2912" spans="12:13">
      <c r="L2912" s="69">
        <v>542000</v>
      </c>
      <c r="M2912" t="s">
        <v>1973</v>
      </c>
    </row>
    <row r="2913" spans="12:13">
      <c r="L2913" s="69">
        <v>542100</v>
      </c>
      <c r="M2913" t="s">
        <v>422</v>
      </c>
    </row>
    <row r="2914" spans="12:13">
      <c r="L2914" s="69">
        <v>542110</v>
      </c>
      <c r="M2914" t="s">
        <v>422</v>
      </c>
    </row>
    <row r="2915" spans="12:13">
      <c r="L2915" s="69">
        <v>542111</v>
      </c>
      <c r="M2915" t="s">
        <v>422</v>
      </c>
    </row>
    <row r="2916" spans="12:13">
      <c r="L2916" s="69">
        <v>542112</v>
      </c>
      <c r="M2916" t="s">
        <v>2145</v>
      </c>
    </row>
    <row r="2917" spans="12:13">
      <c r="L2917" s="69">
        <v>542113</v>
      </c>
      <c r="M2917" t="s">
        <v>2146</v>
      </c>
    </row>
    <row r="2918" spans="12:13">
      <c r="L2918" s="69">
        <v>542120</v>
      </c>
      <c r="M2918" t="s">
        <v>2147</v>
      </c>
    </row>
    <row r="2919" spans="12:13">
      <c r="L2919" s="69">
        <v>542121</v>
      </c>
      <c r="M2919" t="s">
        <v>2148</v>
      </c>
    </row>
    <row r="2920" spans="12:13">
      <c r="L2920" s="69">
        <v>542122</v>
      </c>
      <c r="M2920" t="s">
        <v>2149</v>
      </c>
    </row>
    <row r="2921" spans="12:13">
      <c r="L2921" s="69">
        <v>542123</v>
      </c>
      <c r="M2921" t="s">
        <v>2150</v>
      </c>
    </row>
    <row r="2922" spans="12:13">
      <c r="L2922" s="69">
        <v>543000</v>
      </c>
      <c r="M2922" t="s">
        <v>428</v>
      </c>
    </row>
    <row r="2923" spans="12:13">
      <c r="L2923" s="69">
        <v>543100</v>
      </c>
      <c r="M2923" t="s">
        <v>429</v>
      </c>
    </row>
    <row r="2924" spans="12:13">
      <c r="L2924" s="69">
        <v>543110</v>
      </c>
      <c r="M2924" t="s">
        <v>429</v>
      </c>
    </row>
    <row r="2925" spans="12:13">
      <c r="L2925" s="69">
        <v>543111</v>
      </c>
      <c r="M2925" t="s">
        <v>2151</v>
      </c>
    </row>
    <row r="2926" spans="12:13">
      <c r="L2926" s="69">
        <v>543120</v>
      </c>
      <c r="M2926" t="s">
        <v>2152</v>
      </c>
    </row>
    <row r="2927" spans="12:13">
      <c r="L2927" s="69">
        <v>543121</v>
      </c>
      <c r="M2927" t="s">
        <v>2153</v>
      </c>
    </row>
    <row r="2928" spans="12:13">
      <c r="L2928" s="69">
        <v>543200</v>
      </c>
      <c r="M2928" t="s">
        <v>433</v>
      </c>
    </row>
    <row r="2929" spans="12:13">
      <c r="L2929" s="69">
        <v>543210</v>
      </c>
      <c r="M2929" t="s">
        <v>433</v>
      </c>
    </row>
    <row r="2930" spans="12:13">
      <c r="L2930" s="69">
        <v>543211</v>
      </c>
      <c r="M2930" t="s">
        <v>2154</v>
      </c>
    </row>
    <row r="2931" spans="12:13">
      <c r="L2931" s="69">
        <v>543220</v>
      </c>
      <c r="M2931" t="s">
        <v>2155</v>
      </c>
    </row>
    <row r="2932" spans="12:13">
      <c r="L2932" s="69">
        <v>543221</v>
      </c>
      <c r="M2932" t="s">
        <v>2155</v>
      </c>
    </row>
    <row r="2933" spans="12:13">
      <c r="L2933" s="69">
        <v>550000</v>
      </c>
      <c r="M2933" t="s">
        <v>2156</v>
      </c>
    </row>
    <row r="2934" spans="12:13">
      <c r="L2934" s="69">
        <v>551000</v>
      </c>
      <c r="M2934" t="s">
        <v>2156</v>
      </c>
    </row>
    <row r="2935" spans="12:13">
      <c r="L2935" s="69">
        <v>551100</v>
      </c>
      <c r="M2935" t="s">
        <v>2156</v>
      </c>
    </row>
    <row r="2936" spans="12:13">
      <c r="L2936" s="69">
        <v>551110</v>
      </c>
      <c r="M2936" t="s">
        <v>2156</v>
      </c>
    </row>
    <row r="2937" spans="12:13">
      <c r="L2937" s="69">
        <v>551111</v>
      </c>
      <c r="M2937" t="s">
        <v>2156</v>
      </c>
    </row>
    <row r="2938" spans="12:13">
      <c r="L2938" s="69">
        <v>551120</v>
      </c>
      <c r="M2938" t="s">
        <v>2157</v>
      </c>
    </row>
    <row r="2939" spans="12:13">
      <c r="L2939" s="69">
        <v>551121</v>
      </c>
      <c r="M2939" t="s">
        <v>2157</v>
      </c>
    </row>
    <row r="2940" spans="12:13">
      <c r="L2940" s="69">
        <v>600000</v>
      </c>
      <c r="M2940" t="s">
        <v>1974</v>
      </c>
    </row>
    <row r="2941" spans="12:13">
      <c r="L2941" s="69">
        <v>610000</v>
      </c>
      <c r="M2941" t="s">
        <v>1975</v>
      </c>
    </row>
    <row r="2942" spans="12:13">
      <c r="L2942" s="69">
        <v>611000</v>
      </c>
      <c r="M2942" t="s">
        <v>2158</v>
      </c>
    </row>
    <row r="2943" spans="12:13">
      <c r="L2943" s="69">
        <v>611100</v>
      </c>
      <c r="M2943" t="s">
        <v>1977</v>
      </c>
    </row>
    <row r="2944" spans="12:13">
      <c r="L2944" s="69">
        <v>611110</v>
      </c>
      <c r="M2944" t="s">
        <v>2159</v>
      </c>
    </row>
    <row r="2945" spans="12:13">
      <c r="L2945" s="69">
        <v>611111</v>
      </c>
      <c r="M2945" t="s">
        <v>2159</v>
      </c>
    </row>
    <row r="2946" spans="12:13">
      <c r="L2946" s="69">
        <v>611120</v>
      </c>
      <c r="M2946" t="s">
        <v>2160</v>
      </c>
    </row>
    <row r="2947" spans="12:13">
      <c r="L2947" s="69">
        <v>611121</v>
      </c>
      <c r="M2947" t="s">
        <v>2160</v>
      </c>
    </row>
    <row r="2948" spans="12:13">
      <c r="L2948" s="69">
        <v>611122</v>
      </c>
      <c r="M2948" t="s">
        <v>2161</v>
      </c>
    </row>
    <row r="2949" spans="12:13">
      <c r="L2949" s="69">
        <v>611200</v>
      </c>
      <c r="M2949" t="s">
        <v>1978</v>
      </c>
    </row>
    <row r="2950" spans="12:13">
      <c r="L2950" s="69">
        <v>611210</v>
      </c>
      <c r="M2950" t="s">
        <v>2162</v>
      </c>
    </row>
    <row r="2951" spans="12:13">
      <c r="L2951" s="69">
        <v>611211</v>
      </c>
      <c r="M2951" t="s">
        <v>2162</v>
      </c>
    </row>
    <row r="2952" spans="12:13">
      <c r="L2952" s="69">
        <v>611220</v>
      </c>
      <c r="M2952" t="s">
        <v>2163</v>
      </c>
    </row>
    <row r="2953" spans="12:13">
      <c r="L2953" s="69">
        <v>611221</v>
      </c>
      <c r="M2953" t="s">
        <v>2163</v>
      </c>
    </row>
    <row r="2954" spans="12:13">
      <c r="L2954" s="69">
        <v>611230</v>
      </c>
      <c r="M2954" t="s">
        <v>2164</v>
      </c>
    </row>
    <row r="2955" spans="12:13">
      <c r="L2955" s="69">
        <v>611231</v>
      </c>
      <c r="M2955" t="s">
        <v>2164</v>
      </c>
    </row>
    <row r="2956" spans="12:13">
      <c r="L2956" s="69">
        <v>611240</v>
      </c>
      <c r="M2956" t="s">
        <v>2165</v>
      </c>
    </row>
    <row r="2957" spans="12:13">
      <c r="L2957" s="69">
        <v>611241</v>
      </c>
      <c r="M2957" t="s">
        <v>2165</v>
      </c>
    </row>
    <row r="2958" spans="12:13">
      <c r="L2958" s="69">
        <v>611250</v>
      </c>
      <c r="M2958" t="s">
        <v>2166</v>
      </c>
    </row>
    <row r="2959" spans="12:13">
      <c r="L2959" s="69">
        <v>611251</v>
      </c>
      <c r="M2959" t="s">
        <v>2167</v>
      </c>
    </row>
    <row r="2960" spans="12:13">
      <c r="L2960" s="69">
        <v>611252</v>
      </c>
      <c r="M2960" t="s">
        <v>2168</v>
      </c>
    </row>
    <row r="2961" spans="12:13">
      <c r="L2961" s="69">
        <v>611255</v>
      </c>
      <c r="M2961" t="s">
        <v>2169</v>
      </c>
    </row>
    <row r="2962" spans="12:13">
      <c r="L2962" s="69">
        <v>611300</v>
      </c>
      <c r="M2962" t="s">
        <v>1979</v>
      </c>
    </row>
    <row r="2963" spans="12:13">
      <c r="L2963" s="69">
        <v>611310</v>
      </c>
      <c r="M2963" t="s">
        <v>2170</v>
      </c>
    </row>
    <row r="2964" spans="12:13">
      <c r="L2964" s="69">
        <v>611311</v>
      </c>
      <c r="M2964" t="s">
        <v>2170</v>
      </c>
    </row>
    <row r="2965" spans="12:13">
      <c r="L2965" s="69">
        <v>611390</v>
      </c>
      <c r="M2965" t="s">
        <v>2171</v>
      </c>
    </row>
    <row r="2966" spans="12:13">
      <c r="L2966" s="69">
        <v>611391</v>
      </c>
      <c r="M2966" t="s">
        <v>2171</v>
      </c>
    </row>
    <row r="2967" spans="12:13">
      <c r="L2967" s="69">
        <v>611400</v>
      </c>
      <c r="M2967" t="s">
        <v>1980</v>
      </c>
    </row>
    <row r="2968" spans="12:13">
      <c r="L2968" s="69">
        <v>611410</v>
      </c>
      <c r="M2968" t="s">
        <v>1980</v>
      </c>
    </row>
    <row r="2969" spans="12:13">
      <c r="L2969" s="69">
        <v>611411</v>
      </c>
      <c r="M2969" t="s">
        <v>1980</v>
      </c>
    </row>
    <row r="2970" spans="12:13">
      <c r="L2970" s="69">
        <v>611500</v>
      </c>
      <c r="M2970" t="s">
        <v>1981</v>
      </c>
    </row>
    <row r="2971" spans="12:13">
      <c r="L2971" s="69">
        <v>611510</v>
      </c>
      <c r="M2971" t="s">
        <v>1981</v>
      </c>
    </row>
    <row r="2972" spans="12:13">
      <c r="L2972" s="69">
        <v>611511</v>
      </c>
      <c r="M2972" t="s">
        <v>1981</v>
      </c>
    </row>
    <row r="2973" spans="12:13">
      <c r="L2973" s="69">
        <v>611600</v>
      </c>
      <c r="M2973" t="s">
        <v>1982</v>
      </c>
    </row>
    <row r="2974" spans="12:13">
      <c r="L2974" s="69">
        <v>611610</v>
      </c>
      <c r="M2974" t="s">
        <v>1982</v>
      </c>
    </row>
    <row r="2975" spans="12:13">
      <c r="L2975" s="69">
        <v>611611</v>
      </c>
      <c r="M2975" t="s">
        <v>1982</v>
      </c>
    </row>
    <row r="2976" spans="12:13">
      <c r="L2976" s="69">
        <v>611700</v>
      </c>
      <c r="M2976" t="s">
        <v>1983</v>
      </c>
    </row>
    <row r="2977" spans="12:13">
      <c r="L2977" s="69">
        <v>611710</v>
      </c>
      <c r="M2977" t="s">
        <v>1983</v>
      </c>
    </row>
    <row r="2978" spans="12:13">
      <c r="L2978" s="69">
        <v>611711</v>
      </c>
      <c r="M2978" t="s">
        <v>1983</v>
      </c>
    </row>
    <row r="2979" spans="12:13">
      <c r="L2979" s="69">
        <v>611800</v>
      </c>
      <c r="M2979" t="s">
        <v>1984</v>
      </c>
    </row>
    <row r="2980" spans="12:13">
      <c r="L2980" s="69">
        <v>611810</v>
      </c>
      <c r="M2980" t="s">
        <v>1984</v>
      </c>
    </row>
    <row r="2981" spans="12:13">
      <c r="L2981" s="69">
        <v>611811</v>
      </c>
      <c r="M2981" t="s">
        <v>1984</v>
      </c>
    </row>
    <row r="2982" spans="12:13">
      <c r="L2982" s="69">
        <v>611900</v>
      </c>
      <c r="M2982" t="s">
        <v>1985</v>
      </c>
    </row>
    <row r="2983" spans="12:13">
      <c r="L2983" s="69">
        <v>611910</v>
      </c>
      <c r="M2983" t="s">
        <v>2172</v>
      </c>
    </row>
    <row r="2984" spans="12:13">
      <c r="L2984" s="69">
        <v>611911</v>
      </c>
      <c r="M2984" t="s">
        <v>2172</v>
      </c>
    </row>
    <row r="2985" spans="12:13">
      <c r="L2985" s="69">
        <v>611920</v>
      </c>
      <c r="M2985" t="s">
        <v>2173</v>
      </c>
    </row>
    <row r="2986" spans="12:13">
      <c r="L2986" s="69">
        <v>611921</v>
      </c>
      <c r="M2986" t="s">
        <v>2173</v>
      </c>
    </row>
    <row r="2987" spans="12:13">
      <c r="L2987" s="69">
        <v>612000</v>
      </c>
      <c r="M2987" t="s">
        <v>1986</v>
      </c>
    </row>
    <row r="2988" spans="12:13">
      <c r="L2988" s="69">
        <v>612100</v>
      </c>
      <c r="M2988" t="s">
        <v>1987</v>
      </c>
    </row>
    <row r="2989" spans="12:13">
      <c r="L2989" s="69">
        <v>612110</v>
      </c>
      <c r="M2989" t="s">
        <v>2174</v>
      </c>
    </row>
    <row r="2990" spans="12:13">
      <c r="L2990" s="69">
        <v>612111</v>
      </c>
      <c r="M2990" t="s">
        <v>2174</v>
      </c>
    </row>
    <row r="2991" spans="12:13">
      <c r="L2991" s="69">
        <v>612120</v>
      </c>
      <c r="M2991" t="s">
        <v>2175</v>
      </c>
    </row>
    <row r="2992" spans="12:13">
      <c r="L2992" s="69">
        <v>612121</v>
      </c>
      <c r="M2992" t="s">
        <v>2176</v>
      </c>
    </row>
    <row r="2993" spans="12:13">
      <c r="L2993" s="69">
        <v>612122</v>
      </c>
      <c r="M2993" t="s">
        <v>2177</v>
      </c>
    </row>
    <row r="2994" spans="12:13">
      <c r="L2994" s="69">
        <v>612200</v>
      </c>
      <c r="M2994" t="s">
        <v>1988</v>
      </c>
    </row>
    <row r="2995" spans="12:13">
      <c r="L2995" s="69">
        <v>612210</v>
      </c>
      <c r="M2995" t="s">
        <v>2178</v>
      </c>
    </row>
    <row r="2996" spans="12:13">
      <c r="L2996" s="69">
        <v>612211</v>
      </c>
      <c r="M2996" t="s">
        <v>2178</v>
      </c>
    </row>
    <row r="2997" spans="12:13">
      <c r="L2997" s="69">
        <v>612220</v>
      </c>
      <c r="M2997" t="s">
        <v>2179</v>
      </c>
    </row>
    <row r="2998" spans="12:13">
      <c r="L2998" s="69">
        <v>612221</v>
      </c>
      <c r="M2998" t="s">
        <v>2179</v>
      </c>
    </row>
    <row r="2999" spans="12:13">
      <c r="L2999" s="69">
        <v>612290</v>
      </c>
      <c r="M2999" t="s">
        <v>2180</v>
      </c>
    </row>
    <row r="3000" spans="12:13">
      <c r="L3000" s="69">
        <v>612291</v>
      </c>
      <c r="M3000" t="s">
        <v>2180</v>
      </c>
    </row>
    <row r="3001" spans="12:13">
      <c r="L3001" s="69">
        <v>612300</v>
      </c>
      <c r="M3001" t="s">
        <v>1989</v>
      </c>
    </row>
    <row r="3002" spans="12:13">
      <c r="L3002" s="69">
        <v>612310</v>
      </c>
      <c r="M3002" t="s">
        <v>2181</v>
      </c>
    </row>
    <row r="3003" spans="12:13">
      <c r="L3003" s="69">
        <v>612311</v>
      </c>
      <c r="M3003" t="s">
        <v>2181</v>
      </c>
    </row>
    <row r="3004" spans="12:13">
      <c r="L3004" s="69">
        <v>612320</v>
      </c>
      <c r="M3004" t="s">
        <v>2182</v>
      </c>
    </row>
    <row r="3005" spans="12:13">
      <c r="L3005" s="69">
        <v>612321</v>
      </c>
      <c r="M3005" t="s">
        <v>2182</v>
      </c>
    </row>
    <row r="3006" spans="12:13">
      <c r="L3006" s="69">
        <v>612330</v>
      </c>
      <c r="M3006" t="s">
        <v>2183</v>
      </c>
    </row>
    <row r="3007" spans="12:13">
      <c r="L3007" s="69">
        <v>612331</v>
      </c>
      <c r="M3007" t="s">
        <v>2183</v>
      </c>
    </row>
    <row r="3008" spans="12:13">
      <c r="L3008" s="69">
        <v>612340</v>
      </c>
      <c r="M3008" t="s">
        <v>2184</v>
      </c>
    </row>
    <row r="3009" spans="12:13">
      <c r="L3009" s="69">
        <v>612341</v>
      </c>
      <c r="M3009" t="s">
        <v>2184</v>
      </c>
    </row>
    <row r="3010" spans="12:13">
      <c r="L3010" s="69">
        <v>612350</v>
      </c>
      <c r="M3010" t="s">
        <v>2185</v>
      </c>
    </row>
    <row r="3011" spans="12:13">
      <c r="L3011" s="69">
        <v>612351</v>
      </c>
      <c r="M3011" t="s">
        <v>2185</v>
      </c>
    </row>
    <row r="3012" spans="12:13">
      <c r="L3012" s="69">
        <v>612390</v>
      </c>
      <c r="M3012" t="s">
        <v>2186</v>
      </c>
    </row>
    <row r="3013" spans="12:13">
      <c r="L3013" s="69">
        <v>612391</v>
      </c>
      <c r="M3013" t="s">
        <v>2186</v>
      </c>
    </row>
    <row r="3014" spans="12:13">
      <c r="L3014" s="69">
        <v>612400</v>
      </c>
      <c r="M3014" t="s">
        <v>2187</v>
      </c>
    </row>
    <row r="3015" spans="12:13">
      <c r="L3015" s="69">
        <v>612410</v>
      </c>
      <c r="M3015" t="s">
        <v>2188</v>
      </c>
    </row>
    <row r="3016" spans="12:13">
      <c r="L3016" s="69">
        <v>612411</v>
      </c>
      <c r="M3016" t="s">
        <v>2188</v>
      </c>
    </row>
    <row r="3017" spans="12:13">
      <c r="L3017" s="69">
        <v>612490</v>
      </c>
      <c r="M3017" t="s">
        <v>2189</v>
      </c>
    </row>
    <row r="3018" spans="12:13">
      <c r="L3018" s="69">
        <v>612491</v>
      </c>
      <c r="M3018" t="s">
        <v>2189</v>
      </c>
    </row>
    <row r="3019" spans="12:13">
      <c r="L3019" s="69">
        <v>612500</v>
      </c>
      <c r="M3019" t="s">
        <v>2190</v>
      </c>
    </row>
    <row r="3020" spans="12:13">
      <c r="L3020" s="69">
        <v>612510</v>
      </c>
      <c r="M3020" t="s">
        <v>2190</v>
      </c>
    </row>
    <row r="3021" spans="12:13">
      <c r="L3021" s="69">
        <v>612511</v>
      </c>
      <c r="M3021" t="s">
        <v>2190</v>
      </c>
    </row>
    <row r="3022" spans="12:13">
      <c r="L3022" s="69">
        <v>612600</v>
      </c>
      <c r="M3022" t="s">
        <v>1992</v>
      </c>
    </row>
    <row r="3023" spans="12:13">
      <c r="L3023" s="69">
        <v>612610</v>
      </c>
      <c r="M3023" t="s">
        <v>1992</v>
      </c>
    </row>
    <row r="3024" spans="12:13">
      <c r="L3024" s="69">
        <v>612611</v>
      </c>
      <c r="M3024" t="s">
        <v>1992</v>
      </c>
    </row>
    <row r="3025" spans="12:13">
      <c r="L3025" s="69">
        <v>612900</v>
      </c>
      <c r="M3025" t="s">
        <v>1993</v>
      </c>
    </row>
    <row r="3026" spans="12:13">
      <c r="L3026" s="69">
        <v>612910</v>
      </c>
      <c r="M3026" t="s">
        <v>2191</v>
      </c>
    </row>
    <row r="3027" spans="12:13">
      <c r="L3027" s="69">
        <v>612911</v>
      </c>
      <c r="M3027" t="s">
        <v>2191</v>
      </c>
    </row>
    <row r="3028" spans="12:13">
      <c r="L3028" s="69">
        <v>613000</v>
      </c>
      <c r="M3028" t="s">
        <v>1994</v>
      </c>
    </row>
    <row r="3029" spans="12:13">
      <c r="L3029" s="69">
        <v>613100</v>
      </c>
      <c r="M3029" t="s">
        <v>1994</v>
      </c>
    </row>
    <row r="3030" spans="12:13">
      <c r="L3030" s="69">
        <v>613110</v>
      </c>
      <c r="M3030" t="s">
        <v>1994</v>
      </c>
    </row>
    <row r="3031" spans="12:13">
      <c r="L3031" s="69">
        <v>613111</v>
      </c>
      <c r="M3031" t="s">
        <v>1994</v>
      </c>
    </row>
    <row r="3032" spans="12:13">
      <c r="L3032" s="69">
        <v>614000</v>
      </c>
      <c r="M3032" t="s">
        <v>1995</v>
      </c>
    </row>
    <row r="3033" spans="12:13">
      <c r="L3033" s="69">
        <v>614100</v>
      </c>
      <c r="M3033" t="s">
        <v>1995</v>
      </c>
    </row>
    <row r="3034" spans="12:13">
      <c r="L3034" s="69">
        <v>614110</v>
      </c>
      <c r="M3034" t="s">
        <v>1995</v>
      </c>
    </row>
    <row r="3035" spans="12:13">
      <c r="L3035" s="69">
        <v>614111</v>
      </c>
      <c r="M3035" t="s">
        <v>2192</v>
      </c>
    </row>
    <row r="3036" spans="12:13">
      <c r="L3036" s="69">
        <v>620000</v>
      </c>
      <c r="M3036" t="s">
        <v>1996</v>
      </c>
    </row>
    <row r="3037" spans="12:13">
      <c r="L3037" s="69">
        <v>621000</v>
      </c>
      <c r="M3037" t="s">
        <v>1997</v>
      </c>
    </row>
    <row r="3038" spans="12:13">
      <c r="L3038" s="69">
        <v>621100</v>
      </c>
      <c r="M3038" t="s">
        <v>1998</v>
      </c>
    </row>
    <row r="3039" spans="12:13">
      <c r="L3039" s="69">
        <v>621110</v>
      </c>
      <c r="M3039" t="s">
        <v>2193</v>
      </c>
    </row>
    <row r="3040" spans="12:13">
      <c r="L3040" s="69">
        <v>621111</v>
      </c>
      <c r="M3040" t="s">
        <v>2193</v>
      </c>
    </row>
    <row r="3041" spans="12:13">
      <c r="L3041" s="69">
        <v>621120</v>
      </c>
      <c r="M3041" t="s">
        <v>563</v>
      </c>
    </row>
    <row r="3042" spans="12:13">
      <c r="L3042" s="69">
        <v>621121</v>
      </c>
      <c r="M3042" t="s">
        <v>563</v>
      </c>
    </row>
    <row r="3043" spans="12:13">
      <c r="L3043" s="69">
        <v>621200</v>
      </c>
      <c r="M3043" t="s">
        <v>565</v>
      </c>
    </row>
    <row r="3044" spans="12:13">
      <c r="L3044" s="69">
        <v>621210</v>
      </c>
      <c r="M3044" t="s">
        <v>566</v>
      </c>
    </row>
    <row r="3045" spans="12:13">
      <c r="L3045" s="69">
        <v>621211</v>
      </c>
      <c r="M3045" t="s">
        <v>566</v>
      </c>
    </row>
    <row r="3046" spans="12:13">
      <c r="L3046" s="69">
        <v>621220</v>
      </c>
      <c r="M3046" t="s">
        <v>567</v>
      </c>
    </row>
    <row r="3047" spans="12:13">
      <c r="L3047" s="69">
        <v>621221</v>
      </c>
      <c r="M3047" t="s">
        <v>567</v>
      </c>
    </row>
    <row r="3048" spans="12:13">
      <c r="L3048" s="69">
        <v>621230</v>
      </c>
      <c r="M3048" t="s">
        <v>568</v>
      </c>
    </row>
    <row r="3049" spans="12:13">
      <c r="L3049" s="69">
        <v>621231</v>
      </c>
      <c r="M3049" t="s">
        <v>568</v>
      </c>
    </row>
    <row r="3050" spans="12:13">
      <c r="L3050" s="69">
        <v>621240</v>
      </c>
      <c r="M3050" t="s">
        <v>569</v>
      </c>
    </row>
    <row r="3051" spans="12:13">
      <c r="L3051" s="69">
        <v>621241</v>
      </c>
      <c r="M3051" t="s">
        <v>569</v>
      </c>
    </row>
    <row r="3052" spans="12:13">
      <c r="L3052" s="69">
        <v>621250</v>
      </c>
      <c r="M3052" t="s">
        <v>570</v>
      </c>
    </row>
    <row r="3053" spans="12:13">
      <c r="L3053" s="69">
        <v>621251</v>
      </c>
      <c r="M3053" t="s">
        <v>571</v>
      </c>
    </row>
    <row r="3054" spans="12:13">
      <c r="L3054" s="69">
        <v>621252</v>
      </c>
      <c r="M3054" t="s">
        <v>572</v>
      </c>
    </row>
    <row r="3055" spans="12:13">
      <c r="L3055" s="69">
        <v>621255</v>
      </c>
      <c r="M3055" t="s">
        <v>573</v>
      </c>
    </row>
    <row r="3056" spans="12:13">
      <c r="L3056" s="69">
        <v>621300</v>
      </c>
      <c r="M3056" t="s">
        <v>580</v>
      </c>
    </row>
    <row r="3057" spans="12:13">
      <c r="L3057" s="69">
        <v>621310</v>
      </c>
      <c r="M3057" t="s">
        <v>581</v>
      </c>
    </row>
    <row r="3058" spans="12:13">
      <c r="L3058" s="69">
        <v>621311</v>
      </c>
      <c r="M3058" t="s">
        <v>581</v>
      </c>
    </row>
    <row r="3059" spans="12:13">
      <c r="L3059" s="69">
        <v>621390</v>
      </c>
      <c r="M3059" t="s">
        <v>582</v>
      </c>
    </row>
    <row r="3060" spans="12:13">
      <c r="L3060" s="69">
        <v>621391</v>
      </c>
      <c r="M3060" t="s">
        <v>582</v>
      </c>
    </row>
    <row r="3061" spans="12:13">
      <c r="L3061" s="69">
        <v>621400</v>
      </c>
      <c r="M3061" t="s">
        <v>587</v>
      </c>
    </row>
    <row r="3062" spans="12:13">
      <c r="L3062" s="69">
        <v>621410</v>
      </c>
      <c r="M3062" t="s">
        <v>587</v>
      </c>
    </row>
    <row r="3063" spans="12:13">
      <c r="L3063" s="69">
        <v>621411</v>
      </c>
      <c r="M3063" t="s">
        <v>587</v>
      </c>
    </row>
    <row r="3064" spans="12:13">
      <c r="L3064" s="69">
        <v>621500</v>
      </c>
      <c r="M3064" t="s">
        <v>2194</v>
      </c>
    </row>
    <row r="3065" spans="12:13">
      <c r="L3065" s="69">
        <v>621510</v>
      </c>
      <c r="M3065" t="s">
        <v>2194</v>
      </c>
    </row>
    <row r="3066" spans="12:13">
      <c r="L3066" s="69">
        <v>621511</v>
      </c>
      <c r="M3066" t="s">
        <v>2194</v>
      </c>
    </row>
    <row r="3067" spans="12:13">
      <c r="L3067" s="69">
        <v>621600</v>
      </c>
      <c r="M3067" t="s">
        <v>591</v>
      </c>
    </row>
    <row r="3068" spans="12:13">
      <c r="L3068" s="69">
        <v>621610</v>
      </c>
      <c r="M3068" t="s">
        <v>591</v>
      </c>
    </row>
    <row r="3069" spans="12:13">
      <c r="L3069" s="69">
        <v>621611</v>
      </c>
      <c r="M3069" t="s">
        <v>2195</v>
      </c>
    </row>
    <row r="3070" spans="12:13">
      <c r="L3070" s="69">
        <v>621612</v>
      </c>
      <c r="M3070" t="s">
        <v>2196</v>
      </c>
    </row>
    <row r="3071" spans="12:13">
      <c r="L3071" s="69">
        <v>621613</v>
      </c>
      <c r="M3071" t="s">
        <v>594</v>
      </c>
    </row>
    <row r="3072" spans="12:13">
      <c r="L3072" s="69">
        <v>621700</v>
      </c>
      <c r="M3072" t="s">
        <v>2197</v>
      </c>
    </row>
    <row r="3073" spans="12:13">
      <c r="L3073" s="69">
        <v>621710</v>
      </c>
      <c r="M3073" t="s">
        <v>2197</v>
      </c>
    </row>
    <row r="3074" spans="12:13">
      <c r="L3074" s="69">
        <v>621711</v>
      </c>
      <c r="M3074" t="s">
        <v>597</v>
      </c>
    </row>
    <row r="3075" spans="12:13">
      <c r="L3075" s="69">
        <v>621712</v>
      </c>
      <c r="M3075" t="s">
        <v>598</v>
      </c>
    </row>
    <row r="3076" spans="12:13">
      <c r="L3076" s="69">
        <v>621800</v>
      </c>
      <c r="M3076" t="s">
        <v>600</v>
      </c>
    </row>
    <row r="3077" spans="12:13">
      <c r="L3077" s="69">
        <v>621810</v>
      </c>
      <c r="M3077" t="s">
        <v>600</v>
      </c>
    </row>
    <row r="3078" spans="12:13">
      <c r="L3078" s="69">
        <v>621811</v>
      </c>
      <c r="M3078" t="s">
        <v>600</v>
      </c>
    </row>
    <row r="3079" spans="12:13">
      <c r="L3079" s="69">
        <v>621900</v>
      </c>
      <c r="M3079" t="s">
        <v>2000</v>
      </c>
    </row>
    <row r="3080" spans="12:13">
      <c r="L3080" s="69">
        <v>621910</v>
      </c>
      <c r="M3080" t="s">
        <v>2198</v>
      </c>
    </row>
    <row r="3081" spans="12:13">
      <c r="L3081" s="69">
        <v>621911</v>
      </c>
      <c r="M3081" t="s">
        <v>2198</v>
      </c>
    </row>
    <row r="3082" spans="12:13">
      <c r="L3082" s="69">
        <v>621920</v>
      </c>
      <c r="M3082" t="s">
        <v>604</v>
      </c>
    </row>
    <row r="3083" spans="12:13">
      <c r="L3083" s="69">
        <v>621921</v>
      </c>
      <c r="M3083" t="s">
        <v>605</v>
      </c>
    </row>
    <row r="3084" spans="12:13">
      <c r="L3084" s="69">
        <v>621922</v>
      </c>
      <c r="M3084" t="s">
        <v>2199</v>
      </c>
    </row>
    <row r="3085" spans="12:13">
      <c r="L3085" s="69">
        <v>621930</v>
      </c>
      <c r="M3085" t="s">
        <v>607</v>
      </c>
    </row>
    <row r="3086" spans="12:13">
      <c r="L3086" s="69">
        <v>621931</v>
      </c>
      <c r="M3086" t="s">
        <v>607</v>
      </c>
    </row>
    <row r="3087" spans="12:13">
      <c r="L3087" s="69">
        <v>621940</v>
      </c>
      <c r="M3087" t="s">
        <v>608</v>
      </c>
    </row>
    <row r="3088" spans="12:13">
      <c r="L3088" s="69">
        <v>621941</v>
      </c>
      <c r="M3088" t="s">
        <v>608</v>
      </c>
    </row>
    <row r="3089" spans="12:13">
      <c r="L3089" s="69">
        <v>622000</v>
      </c>
      <c r="M3089" t="s">
        <v>2001</v>
      </c>
    </row>
    <row r="3090" spans="12:13">
      <c r="L3090" s="69">
        <v>622100</v>
      </c>
      <c r="M3090" t="s">
        <v>2002</v>
      </c>
    </row>
    <row r="3091" spans="12:13">
      <c r="L3091" s="69">
        <v>622110</v>
      </c>
      <c r="M3091" t="s">
        <v>2200</v>
      </c>
    </row>
    <row r="3092" spans="12:13">
      <c r="L3092" s="69">
        <v>622111</v>
      </c>
      <c r="M3092" t="s">
        <v>2200</v>
      </c>
    </row>
    <row r="3093" spans="12:13">
      <c r="L3093" s="69">
        <v>622120</v>
      </c>
      <c r="M3093" t="s">
        <v>2201</v>
      </c>
    </row>
    <row r="3094" spans="12:13">
      <c r="L3094" s="69">
        <v>622121</v>
      </c>
      <c r="M3094" t="s">
        <v>2201</v>
      </c>
    </row>
    <row r="3095" spans="12:13">
      <c r="L3095" s="69">
        <v>622200</v>
      </c>
      <c r="M3095" t="s">
        <v>617</v>
      </c>
    </row>
    <row r="3096" spans="12:13">
      <c r="L3096" s="69">
        <v>622210</v>
      </c>
      <c r="M3096" t="s">
        <v>617</v>
      </c>
    </row>
    <row r="3097" spans="12:13">
      <c r="L3097" s="69">
        <v>622211</v>
      </c>
      <c r="M3097" t="s">
        <v>617</v>
      </c>
    </row>
    <row r="3098" spans="12:13">
      <c r="L3098" s="69">
        <v>622300</v>
      </c>
      <c r="M3098" t="s">
        <v>619</v>
      </c>
    </row>
    <row r="3099" spans="12:13">
      <c r="L3099" s="69">
        <v>622310</v>
      </c>
      <c r="M3099" t="s">
        <v>619</v>
      </c>
    </row>
    <row r="3100" spans="12:13">
      <c r="L3100" s="69">
        <v>622311</v>
      </c>
      <c r="M3100" t="s">
        <v>619</v>
      </c>
    </row>
    <row r="3101" spans="12:13">
      <c r="L3101" s="69">
        <v>622400</v>
      </c>
      <c r="M3101" t="s">
        <v>621</v>
      </c>
    </row>
    <row r="3102" spans="12:13">
      <c r="L3102" s="69">
        <v>622410</v>
      </c>
      <c r="M3102" t="s">
        <v>621</v>
      </c>
    </row>
    <row r="3103" spans="12:13">
      <c r="L3103" s="69">
        <v>622411</v>
      </c>
      <c r="M3103" t="s">
        <v>621</v>
      </c>
    </row>
    <row r="3104" spans="12:13">
      <c r="L3104" s="69">
        <v>622500</v>
      </c>
      <c r="M3104" t="s">
        <v>623</v>
      </c>
    </row>
    <row r="3105" spans="12:13">
      <c r="L3105" s="69">
        <v>622510</v>
      </c>
      <c r="M3105" t="s">
        <v>623</v>
      </c>
    </row>
    <row r="3106" spans="12:13">
      <c r="L3106" s="69">
        <v>622511</v>
      </c>
      <c r="M3106" t="s">
        <v>623</v>
      </c>
    </row>
    <row r="3107" spans="12:13">
      <c r="L3107" s="69">
        <v>622600</v>
      </c>
      <c r="M3107" t="s">
        <v>625</v>
      </c>
    </row>
    <row r="3108" spans="12:13">
      <c r="L3108" s="69">
        <v>622610</v>
      </c>
      <c r="M3108" t="s">
        <v>625</v>
      </c>
    </row>
    <row r="3109" spans="12:13">
      <c r="L3109" s="69">
        <v>622611</v>
      </c>
      <c r="M3109" t="s">
        <v>626</v>
      </c>
    </row>
    <row r="3110" spans="12:13">
      <c r="L3110" s="69">
        <v>622612</v>
      </c>
      <c r="M3110" t="s">
        <v>627</v>
      </c>
    </row>
    <row r="3111" spans="12:13">
      <c r="L3111" s="69">
        <v>622700</v>
      </c>
      <c r="M3111" t="s">
        <v>2003</v>
      </c>
    </row>
    <row r="3112" spans="12:13">
      <c r="L3112" s="69">
        <v>622710</v>
      </c>
      <c r="M3112" t="s">
        <v>630</v>
      </c>
    </row>
    <row r="3113" spans="12:13">
      <c r="L3113" s="69">
        <v>622711</v>
      </c>
      <c r="M3113" t="s">
        <v>630</v>
      </c>
    </row>
    <row r="3114" spans="12:13">
      <c r="L3114" s="69">
        <v>622720</v>
      </c>
      <c r="M3114" t="s">
        <v>631</v>
      </c>
    </row>
    <row r="3115" spans="12:13">
      <c r="L3115" s="69">
        <v>622721</v>
      </c>
      <c r="M3115" t="s">
        <v>631</v>
      </c>
    </row>
    <row r="3116" spans="12:13">
      <c r="L3116" s="69">
        <v>622800</v>
      </c>
      <c r="M3116" t="s">
        <v>2004</v>
      </c>
    </row>
    <row r="3117" spans="12:13">
      <c r="L3117" s="69">
        <v>622810</v>
      </c>
      <c r="M3117" t="s">
        <v>2004</v>
      </c>
    </row>
    <row r="3118" spans="12:13">
      <c r="L3118" s="69">
        <v>622811</v>
      </c>
      <c r="M3118" t="s">
        <v>2004</v>
      </c>
    </row>
    <row r="3119" spans="12:13">
      <c r="L3119" s="69">
        <v>623000</v>
      </c>
      <c r="M3119" t="s">
        <v>2202</v>
      </c>
    </row>
    <row r="3120" spans="12:13">
      <c r="L3120" s="69">
        <v>623100</v>
      </c>
      <c r="M3120" t="s">
        <v>2203</v>
      </c>
    </row>
    <row r="3121" spans="12:13">
      <c r="L3121" s="69">
        <v>623110</v>
      </c>
      <c r="M3121" t="s">
        <v>2203</v>
      </c>
    </row>
    <row r="3122" spans="12:13">
      <c r="L3122" s="69">
        <v>623111</v>
      </c>
      <c r="M3122" t="s">
        <v>2203</v>
      </c>
    </row>
    <row r="3123" spans="12:13">
      <c r="L3123" s="69">
        <v>690000</v>
      </c>
      <c r="M3123" t="s">
        <v>2204</v>
      </c>
    </row>
    <row r="3124" spans="12:13">
      <c r="L3124" s="69">
        <v>699000</v>
      </c>
      <c r="M3124" t="s">
        <v>2204</v>
      </c>
    </row>
    <row r="3125" spans="12:13">
      <c r="L3125" s="69">
        <v>699900</v>
      </c>
      <c r="M3125" t="s">
        <v>2204</v>
      </c>
    </row>
    <row r="3126" spans="12:13">
      <c r="L3126" s="69">
        <v>699990</v>
      </c>
      <c r="M3126" t="s">
        <v>2204</v>
      </c>
    </row>
    <row r="3127" spans="12:13">
      <c r="L3127" s="69">
        <v>699999</v>
      </c>
      <c r="M3127" t="s">
        <v>2204</v>
      </c>
    </row>
    <row r="3128" spans="12:13">
      <c r="L3128" s="69">
        <v>700000</v>
      </c>
      <c r="M3128" t="s">
        <v>2206</v>
      </c>
    </row>
    <row r="3129" spans="12:13">
      <c r="L3129" s="69">
        <v>710000</v>
      </c>
      <c r="M3129" t="s">
        <v>2207</v>
      </c>
    </row>
    <row r="3130" spans="12:13">
      <c r="L3130" s="69">
        <v>711000</v>
      </c>
      <c r="M3130" t="s">
        <v>2208</v>
      </c>
    </row>
    <row r="3131" spans="12:13">
      <c r="L3131" s="69">
        <v>711100</v>
      </c>
      <c r="M3131" t="s">
        <v>2209</v>
      </c>
    </row>
    <row r="3132" spans="12:13">
      <c r="L3132" s="69">
        <v>711110</v>
      </c>
      <c r="M3132" t="s">
        <v>2210</v>
      </c>
    </row>
    <row r="3133" spans="12:13">
      <c r="L3133" s="69">
        <v>711111</v>
      </c>
      <c r="M3133" t="s">
        <v>2210</v>
      </c>
    </row>
    <row r="3134" spans="12:13">
      <c r="L3134" s="69">
        <v>711120</v>
      </c>
      <c r="M3134" t="s">
        <v>2211</v>
      </c>
    </row>
    <row r="3135" spans="12:13">
      <c r="L3135" s="69">
        <v>711121</v>
      </c>
      <c r="M3135" t="s">
        <v>2212</v>
      </c>
    </row>
    <row r="3136" spans="12:13">
      <c r="L3136" s="69">
        <v>711122</v>
      </c>
      <c r="M3136" t="s">
        <v>2213</v>
      </c>
    </row>
    <row r="3137" spans="12:13">
      <c r="L3137" s="69">
        <v>711130</v>
      </c>
      <c r="M3137" t="s">
        <v>2214</v>
      </c>
    </row>
    <row r="3138" spans="12:13">
      <c r="L3138" s="69">
        <v>711131</v>
      </c>
      <c r="M3138" t="s">
        <v>2215</v>
      </c>
    </row>
    <row r="3139" spans="12:13">
      <c r="L3139" s="69">
        <v>711140</v>
      </c>
      <c r="M3139" t="s">
        <v>2216</v>
      </c>
    </row>
    <row r="3140" spans="12:13">
      <c r="L3140" s="69">
        <v>711141</v>
      </c>
      <c r="M3140" t="s">
        <v>2217</v>
      </c>
    </row>
    <row r="3141" spans="12:13">
      <c r="L3141" s="69">
        <v>711142</v>
      </c>
      <c r="M3141" t="s">
        <v>2218</v>
      </c>
    </row>
    <row r="3142" spans="12:13">
      <c r="L3142" s="69">
        <v>711143</v>
      </c>
      <c r="M3142" t="s">
        <v>2219</v>
      </c>
    </row>
    <row r="3143" spans="12:13">
      <c r="L3143" s="69">
        <v>711144</v>
      </c>
      <c r="M3143" t="s">
        <v>2220</v>
      </c>
    </row>
    <row r="3144" spans="12:13">
      <c r="L3144" s="69">
        <v>711145</v>
      </c>
      <c r="M3144" t="s">
        <v>2221</v>
      </c>
    </row>
    <row r="3145" spans="12:13">
      <c r="L3145" s="69">
        <v>711146</v>
      </c>
      <c r="M3145" t="s">
        <v>2222</v>
      </c>
    </row>
    <row r="3146" spans="12:13">
      <c r="L3146" s="69">
        <v>711147</v>
      </c>
      <c r="M3146" t="s">
        <v>2223</v>
      </c>
    </row>
    <row r="3147" spans="12:13">
      <c r="L3147" s="69">
        <v>711148</v>
      </c>
      <c r="M3147" t="s">
        <v>2224</v>
      </c>
    </row>
    <row r="3148" spans="12:13">
      <c r="L3148" s="69">
        <v>711149</v>
      </c>
      <c r="M3148" t="s">
        <v>2225</v>
      </c>
    </row>
    <row r="3149" spans="12:13">
      <c r="L3149" s="69">
        <v>711150</v>
      </c>
      <c r="M3149" t="s">
        <v>2226</v>
      </c>
    </row>
    <row r="3150" spans="12:13">
      <c r="L3150" s="69">
        <v>711151</v>
      </c>
      <c r="M3150" t="s">
        <v>2226</v>
      </c>
    </row>
    <row r="3151" spans="12:13">
      <c r="L3151" s="69">
        <v>711160</v>
      </c>
      <c r="M3151" t="s">
        <v>2227</v>
      </c>
    </row>
    <row r="3152" spans="12:13">
      <c r="L3152" s="69">
        <v>711161</v>
      </c>
      <c r="M3152" t="s">
        <v>2227</v>
      </c>
    </row>
    <row r="3153" spans="12:13">
      <c r="L3153" s="69">
        <v>711170</v>
      </c>
      <c r="M3153" t="s">
        <v>2228</v>
      </c>
    </row>
    <row r="3154" spans="12:13">
      <c r="L3154" s="69">
        <v>711171</v>
      </c>
      <c r="M3154" t="s">
        <v>2228</v>
      </c>
    </row>
    <row r="3155" spans="12:13">
      <c r="L3155" s="69">
        <v>711180</v>
      </c>
      <c r="M3155" t="s">
        <v>2229</v>
      </c>
    </row>
    <row r="3156" spans="12:13">
      <c r="L3156" s="69">
        <v>711181</v>
      </c>
      <c r="M3156" t="s">
        <v>2230</v>
      </c>
    </row>
    <row r="3157" spans="12:13">
      <c r="L3157" s="69">
        <v>711182</v>
      </c>
      <c r="M3157" t="s">
        <v>2231</v>
      </c>
    </row>
    <row r="3158" spans="12:13">
      <c r="L3158" s="69">
        <v>711183</v>
      </c>
      <c r="M3158" t="s">
        <v>2232</v>
      </c>
    </row>
    <row r="3159" spans="12:13">
      <c r="L3159" s="69">
        <v>711184</v>
      </c>
      <c r="M3159" t="s">
        <v>2233</v>
      </c>
    </row>
    <row r="3160" spans="12:13">
      <c r="L3160" s="69">
        <v>711185</v>
      </c>
      <c r="M3160" t="s">
        <v>2234</v>
      </c>
    </row>
    <row r="3161" spans="12:13">
      <c r="L3161" s="69">
        <v>711190</v>
      </c>
      <c r="M3161" t="s">
        <v>2235</v>
      </c>
    </row>
    <row r="3162" spans="12:13">
      <c r="L3162" s="69">
        <v>711191</v>
      </c>
      <c r="M3162" t="s">
        <v>2236</v>
      </c>
    </row>
    <row r="3163" spans="12:13">
      <c r="L3163" s="69">
        <v>711192</v>
      </c>
      <c r="M3163" t="s">
        <v>2237</v>
      </c>
    </row>
    <row r="3164" spans="12:13">
      <c r="L3164" s="69">
        <v>711193</v>
      </c>
      <c r="M3164" t="s">
        <v>2238</v>
      </c>
    </row>
    <row r="3165" spans="12:13">
      <c r="L3165" s="69">
        <v>711194</v>
      </c>
      <c r="M3165" t="s">
        <v>2239</v>
      </c>
    </row>
    <row r="3166" spans="12:13">
      <c r="L3166" s="69">
        <v>711195</v>
      </c>
      <c r="M3166" t="s">
        <v>2240</v>
      </c>
    </row>
    <row r="3167" spans="12:13">
      <c r="L3167" s="69">
        <v>711200</v>
      </c>
      <c r="M3167" t="s">
        <v>2241</v>
      </c>
    </row>
    <row r="3168" spans="12:13">
      <c r="L3168" s="69">
        <v>711210</v>
      </c>
      <c r="M3168" t="s">
        <v>2242</v>
      </c>
    </row>
    <row r="3169" spans="12:13">
      <c r="L3169" s="69">
        <v>711211</v>
      </c>
      <c r="M3169" t="s">
        <v>2243</v>
      </c>
    </row>
    <row r="3170" spans="12:13">
      <c r="L3170" s="69">
        <v>711212</v>
      </c>
      <c r="M3170" t="s">
        <v>2244</v>
      </c>
    </row>
    <row r="3171" spans="12:13">
      <c r="L3171" s="69">
        <v>711213</v>
      </c>
      <c r="M3171" t="s">
        <v>2245</v>
      </c>
    </row>
    <row r="3172" spans="12:13">
      <c r="L3172" s="69">
        <v>711214</v>
      </c>
      <c r="M3172" t="s">
        <v>2246</v>
      </c>
    </row>
    <row r="3173" spans="12:13">
      <c r="L3173" s="69">
        <v>711215</v>
      </c>
      <c r="M3173" t="s">
        <v>2247</v>
      </c>
    </row>
    <row r="3174" spans="12:13">
      <c r="L3174" s="69">
        <v>711216</v>
      </c>
      <c r="M3174" t="s">
        <v>2248</v>
      </c>
    </row>
    <row r="3175" spans="12:13">
      <c r="L3175" s="69">
        <v>711217</v>
      </c>
      <c r="M3175" t="s">
        <v>2249</v>
      </c>
    </row>
    <row r="3176" spans="12:13">
      <c r="L3176" s="69">
        <v>711218</v>
      </c>
      <c r="M3176" t="s">
        <v>2250</v>
      </c>
    </row>
    <row r="3177" spans="12:13">
      <c r="L3177" s="69">
        <v>711300</v>
      </c>
      <c r="M3177" t="s">
        <v>2251</v>
      </c>
    </row>
    <row r="3178" spans="12:13">
      <c r="L3178">
        <v>711310</v>
      </c>
      <c r="M3178" t="s">
        <v>2251</v>
      </c>
    </row>
    <row r="3179" spans="12:13">
      <c r="L3179" s="69">
        <v>711311</v>
      </c>
      <c r="M3179" t="s">
        <v>2251</v>
      </c>
    </row>
    <row r="3180" spans="12:13">
      <c r="L3180" s="69">
        <v>712000</v>
      </c>
      <c r="M3180" t="s">
        <v>2252</v>
      </c>
    </row>
    <row r="3181" spans="12:13">
      <c r="L3181" s="69">
        <v>712100</v>
      </c>
      <c r="M3181" t="s">
        <v>2252</v>
      </c>
    </row>
    <row r="3182" spans="12:13">
      <c r="L3182" s="69">
        <v>712110</v>
      </c>
      <c r="M3182" t="s">
        <v>2252</v>
      </c>
    </row>
    <row r="3183" spans="12:13">
      <c r="L3183" s="69">
        <v>712111</v>
      </c>
      <c r="M3183" t="s">
        <v>2253</v>
      </c>
    </row>
    <row r="3184" spans="12:13">
      <c r="L3184" s="69">
        <v>712112</v>
      </c>
      <c r="M3184" t="s">
        <v>2254</v>
      </c>
    </row>
    <row r="3185" spans="12:13">
      <c r="L3185" s="69">
        <v>712113</v>
      </c>
      <c r="M3185" t="s">
        <v>2255</v>
      </c>
    </row>
    <row r="3186" spans="12:13">
      <c r="L3186" s="69">
        <v>713000</v>
      </c>
      <c r="M3186" t="s">
        <v>2256</v>
      </c>
    </row>
    <row r="3187" spans="12:13">
      <c r="L3187" s="69">
        <v>713100</v>
      </c>
      <c r="M3187" t="s">
        <v>2257</v>
      </c>
    </row>
    <row r="3188" spans="12:13">
      <c r="L3188" s="69">
        <v>713110</v>
      </c>
      <c r="M3188" t="s">
        <v>2258</v>
      </c>
    </row>
    <row r="3189" spans="12:13">
      <c r="L3189" s="69">
        <v>713111</v>
      </c>
      <c r="M3189" t="s">
        <v>2259</v>
      </c>
    </row>
    <row r="3190" spans="12:13">
      <c r="L3190" s="69">
        <v>713120</v>
      </c>
      <c r="M3190" t="s">
        <v>2256</v>
      </c>
    </row>
    <row r="3191" spans="12:13">
      <c r="L3191" s="69">
        <v>713121</v>
      </c>
      <c r="M3191" t="s">
        <v>2260</v>
      </c>
    </row>
    <row r="3192" spans="12:13">
      <c r="L3192" s="69">
        <v>713122</v>
      </c>
      <c r="M3192" t="s">
        <v>2261</v>
      </c>
    </row>
    <row r="3193" spans="12:13">
      <c r="L3193" s="69">
        <v>713200</v>
      </c>
      <c r="M3193" t="s">
        <v>2262</v>
      </c>
    </row>
    <row r="3194" spans="12:13">
      <c r="L3194" s="69">
        <v>713210</v>
      </c>
      <c r="M3194" t="s">
        <v>2262</v>
      </c>
    </row>
    <row r="3195" spans="12:13">
      <c r="L3195" s="69">
        <v>713211</v>
      </c>
      <c r="M3195" t="s">
        <v>2262</v>
      </c>
    </row>
    <row r="3196" spans="12:13">
      <c r="L3196" s="69">
        <v>713300</v>
      </c>
      <c r="M3196" t="s">
        <v>2263</v>
      </c>
    </row>
    <row r="3197" spans="12:13">
      <c r="L3197" s="69">
        <v>713310</v>
      </c>
      <c r="M3197" t="s">
        <v>2264</v>
      </c>
    </row>
    <row r="3198" spans="12:13">
      <c r="L3198" s="69">
        <v>713311</v>
      </c>
      <c r="M3198" t="s">
        <v>2265</v>
      </c>
    </row>
    <row r="3199" spans="12:13">
      <c r="L3199" s="69">
        <v>713400</v>
      </c>
      <c r="M3199" t="s">
        <v>2266</v>
      </c>
    </row>
    <row r="3200" spans="12:13">
      <c r="L3200" s="69">
        <v>713410</v>
      </c>
      <c r="M3200" t="s">
        <v>1925</v>
      </c>
    </row>
    <row r="3201" spans="12:13">
      <c r="L3201" s="69">
        <v>713411</v>
      </c>
      <c r="M3201" t="s">
        <v>1925</v>
      </c>
    </row>
    <row r="3202" spans="12:13">
      <c r="L3202" s="69">
        <v>713420</v>
      </c>
      <c r="M3202" t="s">
        <v>2267</v>
      </c>
    </row>
    <row r="3203" spans="12:13">
      <c r="L3203" s="69">
        <v>713421</v>
      </c>
      <c r="M3203" t="s">
        <v>2268</v>
      </c>
    </row>
    <row r="3204" spans="12:13">
      <c r="L3204" s="69">
        <v>713422</v>
      </c>
      <c r="M3204" t="s">
        <v>2269</v>
      </c>
    </row>
    <row r="3205" spans="12:13">
      <c r="L3205" s="69">
        <v>713423</v>
      </c>
      <c r="M3205" t="s">
        <v>2270</v>
      </c>
    </row>
    <row r="3206" spans="12:13">
      <c r="L3206" s="69">
        <v>713424</v>
      </c>
      <c r="M3206" t="s">
        <v>2271</v>
      </c>
    </row>
    <row r="3207" spans="12:13">
      <c r="L3207" s="69">
        <v>713500</v>
      </c>
      <c r="M3207" t="s">
        <v>2272</v>
      </c>
    </row>
    <row r="3208" spans="12:13">
      <c r="L3208" s="69">
        <v>713510</v>
      </c>
      <c r="M3208" t="s">
        <v>2272</v>
      </c>
    </row>
    <row r="3209" spans="12:13">
      <c r="L3209" s="69">
        <v>713511</v>
      </c>
      <c r="M3209" t="s">
        <v>2272</v>
      </c>
    </row>
    <row r="3210" spans="12:13">
      <c r="L3210" s="69">
        <v>713600</v>
      </c>
      <c r="M3210" t="s">
        <v>2273</v>
      </c>
    </row>
    <row r="3211" spans="12:13">
      <c r="L3211" s="69">
        <v>713610</v>
      </c>
      <c r="M3211" t="s">
        <v>2274</v>
      </c>
    </row>
    <row r="3212" spans="12:13">
      <c r="L3212" s="69">
        <v>713611</v>
      </c>
      <c r="M3212" t="s">
        <v>2274</v>
      </c>
    </row>
    <row r="3213" spans="12:13">
      <c r="L3213" s="69">
        <v>714000</v>
      </c>
      <c r="M3213" t="s">
        <v>2275</v>
      </c>
    </row>
    <row r="3214" spans="12:13">
      <c r="L3214" s="69">
        <v>714100</v>
      </c>
      <c r="M3214" t="s">
        <v>2276</v>
      </c>
    </row>
    <row r="3215" spans="12:13">
      <c r="L3215" s="69">
        <v>714110</v>
      </c>
      <c r="M3215" t="s">
        <v>2277</v>
      </c>
    </row>
    <row r="3216" spans="12:13">
      <c r="L3216" s="69">
        <v>714111</v>
      </c>
      <c r="M3216" t="s">
        <v>2278</v>
      </c>
    </row>
    <row r="3217" spans="12:13">
      <c r="L3217" s="69">
        <v>714112</v>
      </c>
      <c r="M3217" t="s">
        <v>787</v>
      </c>
    </row>
    <row r="3218" spans="12:13">
      <c r="L3218" s="69">
        <v>714113</v>
      </c>
      <c r="M3218" t="s">
        <v>2279</v>
      </c>
    </row>
    <row r="3219" spans="12:13">
      <c r="L3219" s="69">
        <v>714114</v>
      </c>
      <c r="M3219" t="s">
        <v>2280</v>
      </c>
    </row>
    <row r="3220" spans="12:13">
      <c r="L3220" s="69">
        <v>714120</v>
      </c>
      <c r="M3220" t="s">
        <v>2281</v>
      </c>
    </row>
    <row r="3221" spans="12:13">
      <c r="L3221" s="69">
        <v>714121</v>
      </c>
      <c r="M3221" t="s">
        <v>2282</v>
      </c>
    </row>
    <row r="3222" spans="12:13">
      <c r="L3222" s="69">
        <v>714122</v>
      </c>
      <c r="M3222" t="s">
        <v>2283</v>
      </c>
    </row>
    <row r="3223" spans="12:13">
      <c r="L3223" s="69">
        <v>714123</v>
      </c>
      <c r="M3223" t="s">
        <v>2284</v>
      </c>
    </row>
    <row r="3224" spans="12:13">
      <c r="L3224" s="69">
        <v>714124</v>
      </c>
      <c r="M3224" t="s">
        <v>2285</v>
      </c>
    </row>
    <row r="3225" spans="12:13">
      <c r="L3225" s="69">
        <v>714125</v>
      </c>
      <c r="M3225" t="s">
        <v>2286</v>
      </c>
    </row>
    <row r="3226" spans="12:13">
      <c r="L3226" s="69">
        <v>714126</v>
      </c>
      <c r="M3226" t="s">
        <v>2287</v>
      </c>
    </row>
    <row r="3227" spans="12:13">
      <c r="L3227" s="69">
        <v>714127</v>
      </c>
      <c r="M3227" t="s">
        <v>2288</v>
      </c>
    </row>
    <row r="3228" spans="12:13">
      <c r="L3228" s="69">
        <v>714128</v>
      </c>
      <c r="M3228" t="s">
        <v>2289</v>
      </c>
    </row>
    <row r="3229" spans="12:13">
      <c r="L3229" s="69">
        <v>714129</v>
      </c>
      <c r="M3229" t="s">
        <v>2290</v>
      </c>
    </row>
    <row r="3230" spans="12:13">
      <c r="L3230" s="69">
        <v>714130</v>
      </c>
      <c r="M3230" t="s">
        <v>2291</v>
      </c>
    </row>
    <row r="3231" spans="12:13">
      <c r="L3231" s="69">
        <v>714131</v>
      </c>
      <c r="M3231" t="s">
        <v>2292</v>
      </c>
    </row>
    <row r="3232" spans="12:13">
      <c r="L3232" s="69">
        <v>714132</v>
      </c>
      <c r="M3232" t="s">
        <v>2293</v>
      </c>
    </row>
    <row r="3233" spans="12:13">
      <c r="L3233" s="69">
        <v>714133</v>
      </c>
      <c r="M3233" t="s">
        <v>2294</v>
      </c>
    </row>
    <row r="3234" spans="12:13">
      <c r="L3234" s="69">
        <v>714134</v>
      </c>
      <c r="M3234" t="s">
        <v>2295</v>
      </c>
    </row>
    <row r="3235" spans="12:13">
      <c r="L3235" s="69">
        <v>714135</v>
      </c>
      <c r="M3235" t="s">
        <v>2296</v>
      </c>
    </row>
    <row r="3236" spans="12:13">
      <c r="L3236" s="69">
        <v>714136</v>
      </c>
      <c r="M3236" t="s">
        <v>2297</v>
      </c>
    </row>
    <row r="3237" spans="12:13">
      <c r="L3237" s="69">
        <v>714137</v>
      </c>
      <c r="M3237" t="s">
        <v>2298</v>
      </c>
    </row>
    <row r="3238" spans="12:13">
      <c r="L3238" s="69">
        <v>714138</v>
      </c>
      <c r="M3238" t="s">
        <v>2299</v>
      </c>
    </row>
    <row r="3239" spans="12:13">
      <c r="L3239" s="69">
        <v>714139</v>
      </c>
      <c r="M3239" t="s">
        <v>2300</v>
      </c>
    </row>
    <row r="3240" spans="12:13">
      <c r="L3240" s="69">
        <v>714140</v>
      </c>
      <c r="M3240" t="s">
        <v>2301</v>
      </c>
    </row>
    <row r="3241" spans="12:13">
      <c r="L3241" s="69">
        <v>714141</v>
      </c>
      <c r="M3241" t="s">
        <v>2301</v>
      </c>
    </row>
    <row r="3242" spans="12:13">
      <c r="L3242" s="69">
        <v>714300</v>
      </c>
      <c r="M3242" t="s">
        <v>2302</v>
      </c>
    </row>
    <row r="3243" spans="12:13">
      <c r="L3243" s="69">
        <v>714310</v>
      </c>
      <c r="M3243" t="s">
        <v>2302</v>
      </c>
    </row>
    <row r="3244" spans="12:13">
      <c r="L3244" s="69">
        <v>714311</v>
      </c>
      <c r="M3244" t="s">
        <v>2302</v>
      </c>
    </row>
    <row r="3245" spans="12:13">
      <c r="L3245" s="69">
        <v>714400</v>
      </c>
      <c r="M3245" t="s">
        <v>2303</v>
      </c>
    </row>
    <row r="3246" spans="12:13">
      <c r="L3246" s="69">
        <v>714420</v>
      </c>
      <c r="M3246" t="s">
        <v>2304</v>
      </c>
    </row>
    <row r="3247" spans="12:13">
      <c r="L3247" s="69">
        <v>714421</v>
      </c>
      <c r="M3247" t="s">
        <v>2305</v>
      </c>
    </row>
    <row r="3248" spans="12:13">
      <c r="L3248" s="69">
        <v>714430</v>
      </c>
      <c r="M3248" t="s">
        <v>2306</v>
      </c>
    </row>
    <row r="3249" spans="12:13">
      <c r="L3249" s="69">
        <v>714431</v>
      </c>
      <c r="M3249" t="s">
        <v>2306</v>
      </c>
    </row>
    <row r="3250" spans="12:13">
      <c r="L3250" s="69">
        <v>714440</v>
      </c>
      <c r="M3250" t="s">
        <v>2307</v>
      </c>
    </row>
    <row r="3251" spans="12:13">
      <c r="L3251" s="69">
        <v>714442</v>
      </c>
      <c r="M3251" t="s">
        <v>2308</v>
      </c>
    </row>
    <row r="3252" spans="12:13">
      <c r="L3252" s="69">
        <v>714443</v>
      </c>
      <c r="M3252" t="s">
        <v>2309</v>
      </c>
    </row>
    <row r="3253" spans="12:13">
      <c r="L3253" s="69">
        <v>714444</v>
      </c>
      <c r="M3253" t="s">
        <v>2310</v>
      </c>
    </row>
    <row r="3254" spans="12:13">
      <c r="L3254" s="69">
        <v>714445</v>
      </c>
      <c r="M3254" t="s">
        <v>2311</v>
      </c>
    </row>
    <row r="3255" spans="12:13">
      <c r="L3255" s="69">
        <v>714446</v>
      </c>
      <c r="M3255" t="s">
        <v>2312</v>
      </c>
    </row>
    <row r="3256" spans="12:13">
      <c r="L3256" s="69">
        <v>714447</v>
      </c>
      <c r="M3256" t="s">
        <v>2313</v>
      </c>
    </row>
    <row r="3257" spans="12:13">
      <c r="L3257" s="69">
        <v>714500</v>
      </c>
      <c r="M3257" t="s">
        <v>2314</v>
      </c>
    </row>
    <row r="3258" spans="12:13">
      <c r="L3258" s="69">
        <v>714510</v>
      </c>
      <c r="M3258" t="s">
        <v>2315</v>
      </c>
    </row>
    <row r="3259" spans="12:13">
      <c r="L3259" s="69">
        <v>714511</v>
      </c>
      <c r="M3259" t="s">
        <v>2316</v>
      </c>
    </row>
    <row r="3260" spans="12:13">
      <c r="L3260" s="69">
        <v>714512</v>
      </c>
      <c r="M3260" t="s">
        <v>2317</v>
      </c>
    </row>
    <row r="3261" spans="12:13">
      <c r="L3261" s="69">
        <v>714513</v>
      </c>
      <c r="M3261" t="s">
        <v>2318</v>
      </c>
    </row>
    <row r="3262" spans="12:13">
      <c r="L3262" s="69">
        <v>714514</v>
      </c>
      <c r="M3262" t="s">
        <v>2319</v>
      </c>
    </row>
    <row r="3263" spans="12:13">
      <c r="L3263" s="69">
        <v>714516</v>
      </c>
      <c r="M3263" t="s">
        <v>2320</v>
      </c>
    </row>
    <row r="3264" spans="12:13">
      <c r="L3264" s="69">
        <v>714517</v>
      </c>
      <c r="M3264" t="s">
        <v>2321</v>
      </c>
    </row>
    <row r="3265" spans="12:13">
      <c r="L3265" s="69">
        <v>714520</v>
      </c>
      <c r="M3265" t="s">
        <v>2322</v>
      </c>
    </row>
    <row r="3266" spans="12:13">
      <c r="L3266" s="69">
        <v>714521</v>
      </c>
      <c r="M3266" t="s">
        <v>2323</v>
      </c>
    </row>
    <row r="3267" spans="12:13">
      <c r="L3267" s="69">
        <v>714522</v>
      </c>
      <c r="M3267" t="s">
        <v>2324</v>
      </c>
    </row>
    <row r="3268" spans="12:13">
      <c r="L3268" s="69">
        <v>714523</v>
      </c>
      <c r="M3268" t="s">
        <v>2325</v>
      </c>
    </row>
    <row r="3269" spans="12:13">
      <c r="L3269" s="69">
        <v>714524</v>
      </c>
      <c r="M3269" t="s">
        <v>2326</v>
      </c>
    </row>
    <row r="3270" spans="12:13">
      <c r="L3270" s="69">
        <v>714525</v>
      </c>
      <c r="M3270" t="s">
        <v>2327</v>
      </c>
    </row>
    <row r="3271" spans="12:13">
      <c r="L3271" s="69">
        <v>714530</v>
      </c>
      <c r="M3271" t="s">
        <v>2328</v>
      </c>
    </row>
    <row r="3272" spans="12:13">
      <c r="L3272" s="69">
        <v>714531</v>
      </c>
      <c r="M3272" t="s">
        <v>2329</v>
      </c>
    </row>
    <row r="3273" spans="12:13">
      <c r="L3273" s="69">
        <v>714532</v>
      </c>
      <c r="M3273" t="s">
        <v>2330</v>
      </c>
    </row>
    <row r="3274" spans="12:13">
      <c r="L3274" s="69">
        <v>714533</v>
      </c>
      <c r="M3274" t="s">
        <v>2331</v>
      </c>
    </row>
    <row r="3275" spans="12:13">
      <c r="L3275" s="69">
        <v>714536</v>
      </c>
      <c r="M3275" t="s">
        <v>2332</v>
      </c>
    </row>
    <row r="3276" spans="12:13">
      <c r="L3276" s="69">
        <v>714540</v>
      </c>
      <c r="M3276" t="s">
        <v>2333</v>
      </c>
    </row>
    <row r="3277" spans="12:13">
      <c r="L3277" s="69">
        <v>714541</v>
      </c>
      <c r="M3277" t="s">
        <v>2334</v>
      </c>
    </row>
    <row r="3278" spans="12:13">
      <c r="L3278" s="69">
        <v>714542</v>
      </c>
      <c r="M3278" t="s">
        <v>2335</v>
      </c>
    </row>
    <row r="3279" spans="12:13">
      <c r="L3279" s="69">
        <v>714543</v>
      </c>
      <c r="M3279" t="s">
        <v>2336</v>
      </c>
    </row>
    <row r="3280" spans="12:13">
      <c r="L3280" s="69">
        <v>714544</v>
      </c>
      <c r="M3280" t="s">
        <v>2337</v>
      </c>
    </row>
    <row r="3281" spans="12:13">
      <c r="L3281" s="69">
        <v>714545</v>
      </c>
      <c r="M3281" t="s">
        <v>2338</v>
      </c>
    </row>
    <row r="3282" spans="12:13">
      <c r="L3282" s="69">
        <v>714546</v>
      </c>
      <c r="M3282" t="s">
        <v>2339</v>
      </c>
    </row>
    <row r="3283" spans="12:13">
      <c r="L3283" s="69">
        <v>714547</v>
      </c>
      <c r="M3283" t="s">
        <v>2340</v>
      </c>
    </row>
    <row r="3284" spans="12:13">
      <c r="L3284" s="69">
        <v>714548</v>
      </c>
      <c r="M3284" t="s">
        <v>2341</v>
      </c>
    </row>
    <row r="3285" spans="12:13">
      <c r="L3285" s="69">
        <v>714549</v>
      </c>
      <c r="M3285" t="s">
        <v>2342</v>
      </c>
    </row>
    <row r="3286" spans="12:13">
      <c r="L3286" s="69">
        <v>714550</v>
      </c>
      <c r="M3286" t="s">
        <v>2343</v>
      </c>
    </row>
    <row r="3287" spans="12:13">
      <c r="L3287" s="69">
        <v>714551</v>
      </c>
      <c r="M3287" t="s">
        <v>2344</v>
      </c>
    </row>
    <row r="3288" spans="12:13">
      <c r="L3288" s="69">
        <v>714552</v>
      </c>
      <c r="M3288" t="s">
        <v>2345</v>
      </c>
    </row>
    <row r="3289" spans="12:13">
      <c r="L3289" s="69">
        <v>714560</v>
      </c>
      <c r="M3289" t="s">
        <v>2346</v>
      </c>
    </row>
    <row r="3290" spans="12:13">
      <c r="L3290" s="69">
        <v>714562</v>
      </c>
      <c r="M3290" t="s">
        <v>2347</v>
      </c>
    </row>
    <row r="3291" spans="12:13">
      <c r="L3291" s="69">
        <v>714563</v>
      </c>
      <c r="M3291" t="s">
        <v>2348</v>
      </c>
    </row>
    <row r="3292" spans="12:13">
      <c r="L3292" s="69">
        <v>714564</v>
      </c>
      <c r="M3292" t="s">
        <v>2349</v>
      </c>
    </row>
    <row r="3293" spans="12:13">
      <c r="L3293" s="69">
        <v>714570</v>
      </c>
      <c r="M3293" t="s">
        <v>2350</v>
      </c>
    </row>
    <row r="3294" spans="12:13">
      <c r="L3294" s="69">
        <v>714571</v>
      </c>
      <c r="M3294" t="s">
        <v>2351</v>
      </c>
    </row>
    <row r="3295" spans="12:13">
      <c r="L3295" s="69">
        <v>714572</v>
      </c>
      <c r="M3295" t="s">
        <v>2352</v>
      </c>
    </row>
    <row r="3296" spans="12:13">
      <c r="L3296" s="69">
        <v>714573</v>
      </c>
      <c r="M3296" t="s">
        <v>2353</v>
      </c>
    </row>
    <row r="3297" spans="12:13">
      <c r="L3297" s="69">
        <v>714574</v>
      </c>
      <c r="M3297" t="s">
        <v>2354</v>
      </c>
    </row>
    <row r="3298" spans="12:13">
      <c r="L3298" s="69">
        <v>714575</v>
      </c>
      <c r="M3298" t="s">
        <v>2355</v>
      </c>
    </row>
    <row r="3299" spans="12:13">
      <c r="L3299" s="69">
        <v>714576</v>
      </c>
      <c r="M3299" t="s">
        <v>2356</v>
      </c>
    </row>
    <row r="3300" spans="12:13">
      <c r="L3300" s="69">
        <v>714580</v>
      </c>
      <c r="M3300" t="s">
        <v>2357</v>
      </c>
    </row>
    <row r="3301" spans="12:13">
      <c r="L3301" s="69">
        <v>714581</v>
      </c>
      <c r="M3301" t="s">
        <v>2358</v>
      </c>
    </row>
    <row r="3302" spans="12:13">
      <c r="L3302" s="69">
        <v>714582</v>
      </c>
      <c r="M3302" t="s">
        <v>2359</v>
      </c>
    </row>
    <row r="3303" spans="12:13">
      <c r="L3303" s="69">
        <v>714583</v>
      </c>
      <c r="M3303" t="s">
        <v>2360</v>
      </c>
    </row>
    <row r="3304" spans="12:13">
      <c r="L3304" s="69">
        <v>714584</v>
      </c>
      <c r="M3304" t="s">
        <v>2361</v>
      </c>
    </row>
    <row r="3305" spans="12:13">
      <c r="L3305" s="69">
        <v>714585</v>
      </c>
      <c r="M3305" t="s">
        <v>2362</v>
      </c>
    </row>
    <row r="3306" spans="12:13">
      <c r="L3306" s="69">
        <v>714586</v>
      </c>
      <c r="M3306" t="s">
        <v>2363</v>
      </c>
    </row>
    <row r="3307" spans="12:13">
      <c r="L3307" s="69">
        <v>714587</v>
      </c>
      <c r="M3307" t="s">
        <v>2364</v>
      </c>
    </row>
    <row r="3308" spans="12:13">
      <c r="L3308" s="69">
        <v>714590</v>
      </c>
      <c r="M3308" t="s">
        <v>2365</v>
      </c>
    </row>
    <row r="3309" spans="12:13">
      <c r="L3309" s="69">
        <v>714591</v>
      </c>
      <c r="M3309" t="s">
        <v>2366</v>
      </c>
    </row>
    <row r="3310" spans="12:13">
      <c r="L3310" s="69">
        <v>714592</v>
      </c>
      <c r="M3310" t="s">
        <v>2367</v>
      </c>
    </row>
    <row r="3311" spans="12:13">
      <c r="L3311" s="69">
        <v>714593</v>
      </c>
      <c r="M3311" t="s">
        <v>2368</v>
      </c>
    </row>
    <row r="3312" spans="12:13">
      <c r="L3312" s="69">
        <v>714594</v>
      </c>
      <c r="M3312" t="s">
        <v>2369</v>
      </c>
    </row>
    <row r="3313" spans="12:13">
      <c r="L3313" s="69">
        <v>714595</v>
      </c>
      <c r="M3313" t="s">
        <v>2370</v>
      </c>
    </row>
    <row r="3314" spans="12:13">
      <c r="L3314" s="69">
        <v>714596</v>
      </c>
      <c r="M3314" t="s">
        <v>2371</v>
      </c>
    </row>
    <row r="3315" spans="12:13">
      <c r="L3315" s="69">
        <v>714597</v>
      </c>
      <c r="M3315" t="s">
        <v>2372</v>
      </c>
    </row>
    <row r="3316" spans="12:13">
      <c r="L3316" s="69">
        <v>714598</v>
      </c>
      <c r="M3316" t="s">
        <v>2373</v>
      </c>
    </row>
    <row r="3317" spans="12:13">
      <c r="L3317" s="69">
        <v>714599</v>
      </c>
      <c r="M3317" t="s">
        <v>2374</v>
      </c>
    </row>
    <row r="3318" spans="12:13">
      <c r="L3318" s="69">
        <v>714600</v>
      </c>
      <c r="M3318" t="s">
        <v>2375</v>
      </c>
    </row>
    <row r="3319" spans="12:13">
      <c r="L3319" s="69">
        <v>714610</v>
      </c>
      <c r="M3319" t="s">
        <v>2375</v>
      </c>
    </row>
    <row r="3320" spans="12:13">
      <c r="L3320" s="69">
        <v>714611</v>
      </c>
      <c r="M3320" t="s">
        <v>2375</v>
      </c>
    </row>
    <row r="3321" spans="12:13">
      <c r="L3321" s="69">
        <v>715000</v>
      </c>
      <c r="M3321" t="s">
        <v>2376</v>
      </c>
    </row>
    <row r="3322" spans="12:13">
      <c r="L3322" s="69">
        <v>715100</v>
      </c>
      <c r="M3322" t="s">
        <v>2377</v>
      </c>
    </row>
    <row r="3323" spans="12:13">
      <c r="L3323" s="69">
        <v>715110</v>
      </c>
      <c r="M3323" t="s">
        <v>2378</v>
      </c>
    </row>
    <row r="3324" spans="12:13">
      <c r="L3324" s="69">
        <v>715111</v>
      </c>
      <c r="M3324" t="s">
        <v>2378</v>
      </c>
    </row>
    <row r="3325" spans="12:13">
      <c r="L3325" s="69">
        <v>715120</v>
      </c>
      <c r="M3325" t="s">
        <v>2379</v>
      </c>
    </row>
    <row r="3326" spans="12:13">
      <c r="L3326" s="69">
        <v>715121</v>
      </c>
      <c r="M3326" t="s">
        <v>2379</v>
      </c>
    </row>
    <row r="3327" spans="12:13">
      <c r="L3327" s="69">
        <v>715190</v>
      </c>
      <c r="M3327" t="s">
        <v>2380</v>
      </c>
    </row>
    <row r="3328" spans="12:13">
      <c r="L3328" s="69">
        <v>715191</v>
      </c>
      <c r="M3328" t="s">
        <v>2381</v>
      </c>
    </row>
    <row r="3329" spans="12:13">
      <c r="L3329" s="69">
        <v>715192</v>
      </c>
      <c r="M3329" t="s">
        <v>2382</v>
      </c>
    </row>
    <row r="3330" spans="12:13">
      <c r="L3330" s="69">
        <v>715193</v>
      </c>
      <c r="M3330" t="s">
        <v>2383</v>
      </c>
    </row>
    <row r="3331" spans="12:13">
      <c r="L3331" s="69">
        <v>715200</v>
      </c>
      <c r="M3331" t="s">
        <v>2384</v>
      </c>
    </row>
    <row r="3332" spans="12:13">
      <c r="L3332" s="69">
        <v>715210</v>
      </c>
      <c r="M3332" t="s">
        <v>2384</v>
      </c>
    </row>
    <row r="3333" spans="12:13">
      <c r="L3333" s="69">
        <v>715211</v>
      </c>
      <c r="M3333" t="s">
        <v>2384</v>
      </c>
    </row>
    <row r="3334" spans="12:13">
      <c r="L3334" s="69">
        <v>715300</v>
      </c>
      <c r="M3334" t="s">
        <v>2385</v>
      </c>
    </row>
    <row r="3335" spans="12:13">
      <c r="L3335" s="69">
        <v>715310</v>
      </c>
      <c r="M3335" t="s">
        <v>2385</v>
      </c>
    </row>
    <row r="3336" spans="12:13">
      <c r="L3336" s="69">
        <v>715311</v>
      </c>
      <c r="M3336" t="s">
        <v>2385</v>
      </c>
    </row>
    <row r="3337" spans="12:13">
      <c r="L3337" s="69">
        <v>715400</v>
      </c>
      <c r="M3337" t="s">
        <v>2386</v>
      </c>
    </row>
    <row r="3338" spans="12:13">
      <c r="L3338" s="69">
        <v>715410</v>
      </c>
      <c r="M3338" t="s">
        <v>2386</v>
      </c>
    </row>
    <row r="3339" spans="12:13">
      <c r="L3339" s="69">
        <v>715411</v>
      </c>
      <c r="M3339" t="s">
        <v>2386</v>
      </c>
    </row>
    <row r="3340" spans="12:13">
      <c r="L3340" s="69">
        <v>715500</v>
      </c>
      <c r="M3340" t="s">
        <v>2387</v>
      </c>
    </row>
    <row r="3341" spans="12:13">
      <c r="L3341" s="69">
        <v>715510</v>
      </c>
      <c r="M3341" t="s">
        <v>2387</v>
      </c>
    </row>
    <row r="3342" spans="12:13">
      <c r="L3342" s="69">
        <v>715511</v>
      </c>
      <c r="M3342" t="s">
        <v>2387</v>
      </c>
    </row>
    <row r="3343" spans="12:13">
      <c r="L3343" s="69">
        <v>715600</v>
      </c>
      <c r="M3343" t="s">
        <v>2388</v>
      </c>
    </row>
    <row r="3344" spans="12:13">
      <c r="L3344" s="69">
        <v>715610</v>
      </c>
      <c r="M3344" t="s">
        <v>2388</v>
      </c>
    </row>
    <row r="3345" spans="12:13">
      <c r="L3345" s="69">
        <v>715611</v>
      </c>
      <c r="M3345" t="s">
        <v>2388</v>
      </c>
    </row>
    <row r="3346" spans="12:13">
      <c r="L3346" s="69">
        <v>716000</v>
      </c>
      <c r="M3346" t="s">
        <v>2390</v>
      </c>
    </row>
    <row r="3347" spans="12:13">
      <c r="L3347" s="69">
        <v>716100</v>
      </c>
      <c r="M3347" t="s">
        <v>2391</v>
      </c>
    </row>
    <row r="3348" spans="12:13">
      <c r="L3348" s="69">
        <v>716110</v>
      </c>
      <c r="M3348" t="s">
        <v>2392</v>
      </c>
    </row>
    <row r="3349" spans="12:13">
      <c r="L3349" s="69">
        <v>716111</v>
      </c>
      <c r="M3349" t="s">
        <v>2394</v>
      </c>
    </row>
    <row r="3350" spans="12:13">
      <c r="L3350" s="69">
        <v>716112</v>
      </c>
      <c r="M3350" t="s">
        <v>2395</v>
      </c>
    </row>
    <row r="3351" spans="12:13">
      <c r="L3351" s="69">
        <v>716200</v>
      </c>
      <c r="M3351" t="s">
        <v>2396</v>
      </c>
    </row>
    <row r="3352" spans="12:13">
      <c r="L3352" s="69">
        <v>716210</v>
      </c>
      <c r="M3352" t="s">
        <v>2397</v>
      </c>
    </row>
    <row r="3353" spans="12:13">
      <c r="L3353" s="69">
        <v>716211</v>
      </c>
      <c r="M3353" t="s">
        <v>2397</v>
      </c>
    </row>
    <row r="3354" spans="12:13">
      <c r="L3354" s="69">
        <v>716220</v>
      </c>
      <c r="M3354" t="s">
        <v>2398</v>
      </c>
    </row>
    <row r="3355" spans="12:13">
      <c r="L3355" s="69">
        <v>716221</v>
      </c>
      <c r="M3355" t="s">
        <v>2399</v>
      </c>
    </row>
    <row r="3356" spans="12:13">
      <c r="L3356" s="69">
        <v>716222</v>
      </c>
      <c r="M3356" t="s">
        <v>2400</v>
      </c>
    </row>
    <row r="3357" spans="12:13">
      <c r="L3357" s="69">
        <v>716223</v>
      </c>
      <c r="M3357" t="s">
        <v>2401</v>
      </c>
    </row>
    <row r="3358" spans="12:13">
      <c r="L3358" s="69">
        <v>716224</v>
      </c>
      <c r="M3358" t="s">
        <v>2402</v>
      </c>
    </row>
    <row r="3359" spans="12:13">
      <c r="L3359" s="69">
        <v>716225</v>
      </c>
      <c r="M3359" t="s">
        <v>2403</v>
      </c>
    </row>
    <row r="3360" spans="12:13">
      <c r="L3360" s="69">
        <v>716226</v>
      </c>
      <c r="M3360" t="s">
        <v>2404</v>
      </c>
    </row>
    <row r="3361" spans="12:13">
      <c r="L3361" s="69">
        <v>716227</v>
      </c>
      <c r="M3361" t="s">
        <v>2405</v>
      </c>
    </row>
    <row r="3362" spans="12:13">
      <c r="L3362" s="69">
        <v>716228</v>
      </c>
      <c r="M3362" t="s">
        <v>2406</v>
      </c>
    </row>
    <row r="3363" spans="12:13">
      <c r="L3363" s="69">
        <v>716229</v>
      </c>
      <c r="M3363" t="s">
        <v>2407</v>
      </c>
    </row>
    <row r="3364" spans="12:13">
      <c r="L3364" s="69">
        <v>717000</v>
      </c>
      <c r="M3364" t="s">
        <v>2408</v>
      </c>
    </row>
    <row r="3365" spans="12:13">
      <c r="L3365" s="69">
        <v>717100</v>
      </c>
      <c r="M3365" t="s">
        <v>2409</v>
      </c>
    </row>
    <row r="3366" spans="12:13">
      <c r="L3366" s="69">
        <v>717110</v>
      </c>
      <c r="M3366" t="s">
        <v>2410</v>
      </c>
    </row>
    <row r="3367" spans="12:13">
      <c r="L3367" s="69">
        <v>717111</v>
      </c>
      <c r="M3367" t="s">
        <v>2411</v>
      </c>
    </row>
    <row r="3368" spans="12:13">
      <c r="L3368" s="69">
        <v>717112</v>
      </c>
      <c r="M3368" t="s">
        <v>2412</v>
      </c>
    </row>
    <row r="3369" spans="12:13">
      <c r="L3369" s="69">
        <v>717113</v>
      </c>
      <c r="M3369" t="s">
        <v>2413</v>
      </c>
    </row>
    <row r="3370" spans="12:13">
      <c r="L3370" s="69">
        <v>717114</v>
      </c>
      <c r="M3370" t="s">
        <v>2414</v>
      </c>
    </row>
    <row r="3371" spans="12:13">
      <c r="L3371" s="69">
        <v>717115</v>
      </c>
      <c r="M3371" t="s">
        <v>2415</v>
      </c>
    </row>
    <row r="3372" spans="12:13">
      <c r="L3372" s="69">
        <v>717116</v>
      </c>
      <c r="M3372" t="s">
        <v>2416</v>
      </c>
    </row>
    <row r="3373" spans="12:13">
      <c r="L3373" s="69">
        <v>717117</v>
      </c>
      <c r="M3373" t="s">
        <v>2417</v>
      </c>
    </row>
    <row r="3374" spans="12:13">
      <c r="L3374" s="69">
        <v>717118</v>
      </c>
      <c r="M3374" t="s">
        <v>2418</v>
      </c>
    </row>
    <row r="3375" spans="12:13">
      <c r="L3375" s="69">
        <v>717119</v>
      </c>
      <c r="M3375" t="s">
        <v>2419</v>
      </c>
    </row>
    <row r="3376" spans="12:13">
      <c r="L3376" s="69">
        <v>717120</v>
      </c>
      <c r="M3376" t="s">
        <v>2420</v>
      </c>
    </row>
    <row r="3377" spans="12:13">
      <c r="L3377" s="69">
        <v>717121</v>
      </c>
      <c r="M3377" t="s">
        <v>2421</v>
      </c>
    </row>
    <row r="3378" spans="12:13">
      <c r="L3378" s="69">
        <v>717122</v>
      </c>
      <c r="M3378" t="s">
        <v>2422</v>
      </c>
    </row>
    <row r="3379" spans="12:13">
      <c r="L3379" s="69">
        <v>717123</v>
      </c>
      <c r="M3379" t="s">
        <v>2423</v>
      </c>
    </row>
    <row r="3380" spans="12:13">
      <c r="L3380" s="69">
        <v>717124</v>
      </c>
      <c r="M3380" t="s">
        <v>2424</v>
      </c>
    </row>
    <row r="3381" spans="12:13">
      <c r="L3381" s="69">
        <v>717125</v>
      </c>
      <c r="M3381" t="s">
        <v>2425</v>
      </c>
    </row>
    <row r="3382" spans="12:13">
      <c r="L3382" s="69">
        <v>717126</v>
      </c>
      <c r="M3382" t="s">
        <v>2426</v>
      </c>
    </row>
    <row r="3383" spans="12:13">
      <c r="L3383" s="69">
        <v>717127</v>
      </c>
      <c r="M3383" t="s">
        <v>2427</v>
      </c>
    </row>
    <row r="3384" spans="12:13">
      <c r="L3384" s="69">
        <v>717128</v>
      </c>
      <c r="M3384" t="s">
        <v>2428</v>
      </c>
    </row>
    <row r="3385" spans="12:13">
      <c r="L3385" s="69">
        <v>717129</v>
      </c>
      <c r="M3385" t="s">
        <v>2429</v>
      </c>
    </row>
    <row r="3386" spans="12:13">
      <c r="L3386" s="69">
        <v>717130</v>
      </c>
      <c r="M3386" t="s">
        <v>2430</v>
      </c>
    </row>
    <row r="3387" spans="12:13">
      <c r="L3387" s="69">
        <v>717131</v>
      </c>
      <c r="M3387" t="s">
        <v>2431</v>
      </c>
    </row>
    <row r="3388" spans="12:13">
      <c r="L3388" s="69">
        <v>717132</v>
      </c>
      <c r="M3388" t="s">
        <v>2432</v>
      </c>
    </row>
    <row r="3389" spans="12:13">
      <c r="L3389" s="69">
        <v>717133</v>
      </c>
      <c r="M3389" t="s">
        <v>2433</v>
      </c>
    </row>
    <row r="3390" spans="12:13">
      <c r="L3390" s="69">
        <v>717134</v>
      </c>
      <c r="M3390" t="s">
        <v>2434</v>
      </c>
    </row>
    <row r="3391" spans="12:13">
      <c r="L3391" s="69">
        <v>717140</v>
      </c>
      <c r="M3391" t="s">
        <v>2435</v>
      </c>
    </row>
    <row r="3392" spans="12:13">
      <c r="L3392" s="69">
        <v>717141</v>
      </c>
      <c r="M3392" t="s">
        <v>2436</v>
      </c>
    </row>
    <row r="3393" spans="12:13">
      <c r="L3393" s="69">
        <v>717142</v>
      </c>
      <c r="M3393" t="s">
        <v>2437</v>
      </c>
    </row>
    <row r="3394" spans="12:13">
      <c r="L3394" s="69">
        <v>717143</v>
      </c>
      <c r="M3394" t="s">
        <v>2438</v>
      </c>
    </row>
    <row r="3395" spans="12:13">
      <c r="L3395" s="69">
        <v>717144</v>
      </c>
      <c r="M3395" t="s">
        <v>2439</v>
      </c>
    </row>
    <row r="3396" spans="12:13">
      <c r="L3396" s="69">
        <v>717150</v>
      </c>
      <c r="M3396" t="s">
        <v>2440</v>
      </c>
    </row>
    <row r="3397" spans="12:13">
      <c r="L3397" s="69">
        <v>717151</v>
      </c>
      <c r="M3397" t="s">
        <v>2441</v>
      </c>
    </row>
    <row r="3398" spans="12:13">
      <c r="L3398" s="69">
        <v>717152</v>
      </c>
      <c r="M3398" t="s">
        <v>2442</v>
      </c>
    </row>
    <row r="3399" spans="12:13">
      <c r="L3399" s="69">
        <v>717200</v>
      </c>
      <c r="M3399" t="s">
        <v>2443</v>
      </c>
    </row>
    <row r="3400" spans="12:13">
      <c r="L3400" s="69">
        <v>717210</v>
      </c>
      <c r="M3400" t="s">
        <v>2444</v>
      </c>
    </row>
    <row r="3401" spans="12:13">
      <c r="L3401" s="69">
        <v>717211</v>
      </c>
      <c r="M3401" t="s">
        <v>2445</v>
      </c>
    </row>
    <row r="3402" spans="12:13">
      <c r="L3402" s="69">
        <v>717212</v>
      </c>
      <c r="M3402" t="s">
        <v>2446</v>
      </c>
    </row>
    <row r="3403" spans="12:13">
      <c r="L3403" s="69">
        <v>717213</v>
      </c>
      <c r="M3403" t="s">
        <v>2447</v>
      </c>
    </row>
    <row r="3404" spans="12:13">
      <c r="L3404" s="69">
        <v>717214</v>
      </c>
      <c r="M3404" t="s">
        <v>2448</v>
      </c>
    </row>
    <row r="3405" spans="12:13">
      <c r="L3405" s="69">
        <v>717215</v>
      </c>
      <c r="M3405" t="s">
        <v>2449</v>
      </c>
    </row>
    <row r="3406" spans="12:13">
      <c r="L3406" s="69">
        <v>717220</v>
      </c>
      <c r="M3406" t="s">
        <v>2450</v>
      </c>
    </row>
    <row r="3407" spans="12:13">
      <c r="L3407" s="69">
        <v>717221</v>
      </c>
      <c r="M3407" t="s">
        <v>2451</v>
      </c>
    </row>
    <row r="3408" spans="12:13">
      <c r="L3408" s="69">
        <v>717222</v>
      </c>
      <c r="M3408" t="s">
        <v>2452</v>
      </c>
    </row>
    <row r="3409" spans="12:13">
      <c r="L3409" s="69">
        <v>717223</v>
      </c>
      <c r="M3409" t="s">
        <v>2453</v>
      </c>
    </row>
    <row r="3410" spans="12:13">
      <c r="L3410" s="69">
        <v>717300</v>
      </c>
      <c r="M3410" t="s">
        <v>2454</v>
      </c>
    </row>
    <row r="3411" spans="12:13">
      <c r="L3411" s="69">
        <v>717310</v>
      </c>
      <c r="M3411" t="s">
        <v>2455</v>
      </c>
    </row>
    <row r="3412" spans="12:13">
      <c r="L3412" s="69">
        <v>717311</v>
      </c>
      <c r="M3412" t="s">
        <v>2456</v>
      </c>
    </row>
    <row r="3413" spans="12:13">
      <c r="L3413" s="69">
        <v>717312</v>
      </c>
      <c r="M3413" t="s">
        <v>2457</v>
      </c>
    </row>
    <row r="3414" spans="12:13">
      <c r="L3414" s="69">
        <v>717313</v>
      </c>
      <c r="M3414" t="s">
        <v>2458</v>
      </c>
    </row>
    <row r="3415" spans="12:13">
      <c r="L3415" s="69">
        <v>717314</v>
      </c>
      <c r="M3415" t="s">
        <v>2459</v>
      </c>
    </row>
    <row r="3416" spans="12:13">
      <c r="L3416" s="69">
        <v>717315</v>
      </c>
      <c r="M3416" t="s">
        <v>2460</v>
      </c>
    </row>
    <row r="3417" spans="12:13">
      <c r="L3417" s="69">
        <v>717316</v>
      </c>
      <c r="M3417" t="s">
        <v>2461</v>
      </c>
    </row>
    <row r="3418" spans="12:13">
      <c r="L3418" s="69">
        <v>717317</v>
      </c>
      <c r="M3418" t="s">
        <v>2462</v>
      </c>
    </row>
    <row r="3419" spans="12:13">
      <c r="L3419" s="69">
        <v>717320</v>
      </c>
      <c r="M3419" t="s">
        <v>2463</v>
      </c>
    </row>
    <row r="3420" spans="12:13">
      <c r="L3420" s="69">
        <v>717321</v>
      </c>
      <c r="M3420" t="s">
        <v>2464</v>
      </c>
    </row>
    <row r="3421" spans="12:13">
      <c r="L3421" s="69">
        <v>717322</v>
      </c>
      <c r="M3421" t="s">
        <v>2465</v>
      </c>
    </row>
    <row r="3422" spans="12:13">
      <c r="L3422" s="69">
        <v>717323</v>
      </c>
      <c r="M3422" t="s">
        <v>2466</v>
      </c>
    </row>
    <row r="3423" spans="12:13">
      <c r="L3423" s="69">
        <v>717324</v>
      </c>
      <c r="M3423" t="s">
        <v>2467</v>
      </c>
    </row>
    <row r="3424" spans="12:13">
      <c r="L3424" s="69">
        <v>717325</v>
      </c>
      <c r="M3424" t="s">
        <v>2468</v>
      </c>
    </row>
    <row r="3425" spans="12:13">
      <c r="L3425" s="69">
        <v>717326</v>
      </c>
      <c r="M3425" t="s">
        <v>2469</v>
      </c>
    </row>
    <row r="3426" spans="12:13">
      <c r="L3426" s="69">
        <v>717327</v>
      </c>
      <c r="M3426" t="s">
        <v>2470</v>
      </c>
    </row>
    <row r="3427" spans="12:13">
      <c r="L3427" s="69">
        <v>717400</v>
      </c>
      <c r="M3427" t="s">
        <v>2471</v>
      </c>
    </row>
    <row r="3428" spans="12:13">
      <c r="L3428" s="69">
        <v>717410</v>
      </c>
      <c r="M3428" t="s">
        <v>2472</v>
      </c>
    </row>
    <row r="3429" spans="12:13">
      <c r="L3429" s="69">
        <v>717411</v>
      </c>
      <c r="M3429" t="s">
        <v>2472</v>
      </c>
    </row>
    <row r="3430" spans="12:13">
      <c r="L3430" s="69">
        <v>717500</v>
      </c>
      <c r="M3430" t="s">
        <v>2473</v>
      </c>
    </row>
    <row r="3431" spans="12:13">
      <c r="L3431" s="69">
        <v>717510</v>
      </c>
      <c r="M3431" t="s">
        <v>2474</v>
      </c>
    </row>
    <row r="3432" spans="12:13">
      <c r="L3432" s="69">
        <v>717511</v>
      </c>
      <c r="M3432" t="s">
        <v>2475</v>
      </c>
    </row>
    <row r="3433" spans="12:13">
      <c r="L3433" s="69">
        <v>717512</v>
      </c>
      <c r="M3433" t="s">
        <v>2476</v>
      </c>
    </row>
    <row r="3434" spans="12:13">
      <c r="L3434" s="69">
        <v>717513</v>
      </c>
      <c r="M3434" t="s">
        <v>2477</v>
      </c>
    </row>
    <row r="3435" spans="12:13">
      <c r="L3435" s="69">
        <v>717514</v>
      </c>
      <c r="M3435" t="s">
        <v>2478</v>
      </c>
    </row>
    <row r="3436" spans="12:13">
      <c r="L3436" s="69">
        <v>717515</v>
      </c>
      <c r="M3436" t="s">
        <v>2479</v>
      </c>
    </row>
    <row r="3437" spans="12:13">
      <c r="L3437" s="69">
        <v>717516</v>
      </c>
      <c r="M3437" t="s">
        <v>2480</v>
      </c>
    </row>
    <row r="3438" spans="12:13">
      <c r="L3438" s="69">
        <v>717600</v>
      </c>
      <c r="M3438" t="s">
        <v>2481</v>
      </c>
    </row>
    <row r="3439" spans="12:13">
      <c r="L3439" s="69">
        <v>717610</v>
      </c>
      <c r="M3439" t="s">
        <v>2481</v>
      </c>
    </row>
    <row r="3440" spans="12:13">
      <c r="L3440" s="69">
        <v>717611</v>
      </c>
      <c r="M3440" t="s">
        <v>2482</v>
      </c>
    </row>
    <row r="3441" spans="12:13">
      <c r="L3441" s="69">
        <v>717612</v>
      </c>
      <c r="M3441" t="s">
        <v>2483</v>
      </c>
    </row>
    <row r="3442" spans="12:13">
      <c r="L3442" s="69">
        <v>719000</v>
      </c>
      <c r="M3442" t="s">
        <v>2484</v>
      </c>
    </row>
    <row r="3443" spans="12:13">
      <c r="L3443" s="69">
        <v>719100</v>
      </c>
      <c r="M3443" t="s">
        <v>2485</v>
      </c>
    </row>
    <row r="3444" spans="12:13">
      <c r="L3444" s="69">
        <v>719110</v>
      </c>
      <c r="M3444" t="s">
        <v>2486</v>
      </c>
    </row>
    <row r="3445" spans="12:13">
      <c r="L3445" s="69">
        <v>719111</v>
      </c>
      <c r="M3445" t="s">
        <v>2487</v>
      </c>
    </row>
    <row r="3446" spans="12:13">
      <c r="L3446" s="69">
        <v>719200</v>
      </c>
      <c r="M3446" t="s">
        <v>2488</v>
      </c>
    </row>
    <row r="3447" spans="12:13">
      <c r="L3447" s="69">
        <v>719210</v>
      </c>
      <c r="M3447" t="s">
        <v>2489</v>
      </c>
    </row>
    <row r="3448" spans="12:13">
      <c r="L3448" s="69">
        <v>719211</v>
      </c>
      <c r="M3448" t="s">
        <v>2490</v>
      </c>
    </row>
    <row r="3449" spans="12:13">
      <c r="L3449" s="69">
        <v>719220</v>
      </c>
      <c r="M3449" t="s">
        <v>2491</v>
      </c>
    </row>
    <row r="3450" spans="12:13">
      <c r="L3450" s="69">
        <v>719221</v>
      </c>
      <c r="M3450" t="s">
        <v>2492</v>
      </c>
    </row>
    <row r="3451" spans="12:13">
      <c r="L3451" s="69">
        <v>719230</v>
      </c>
      <c r="M3451" t="s">
        <v>2493</v>
      </c>
    </row>
    <row r="3452" spans="12:13">
      <c r="L3452" s="69">
        <v>719231</v>
      </c>
      <c r="M3452" t="s">
        <v>2494</v>
      </c>
    </row>
    <row r="3453" spans="12:13">
      <c r="L3453" s="69">
        <v>719240</v>
      </c>
      <c r="M3453" t="s">
        <v>2495</v>
      </c>
    </row>
    <row r="3454" spans="12:13">
      <c r="L3454" s="69">
        <v>719241</v>
      </c>
      <c r="M3454" t="s">
        <v>2496</v>
      </c>
    </row>
    <row r="3455" spans="12:13">
      <c r="L3455" s="69">
        <v>719250</v>
      </c>
      <c r="M3455" t="s">
        <v>2497</v>
      </c>
    </row>
    <row r="3456" spans="12:13">
      <c r="L3456" s="69">
        <v>719251</v>
      </c>
      <c r="M3456" t="s">
        <v>2498</v>
      </c>
    </row>
    <row r="3457" spans="12:13">
      <c r="L3457" s="69">
        <v>719260</v>
      </c>
      <c r="M3457" t="s">
        <v>2499</v>
      </c>
    </row>
    <row r="3458" spans="12:13">
      <c r="L3458" s="69">
        <v>719261</v>
      </c>
      <c r="M3458" t="s">
        <v>2500</v>
      </c>
    </row>
    <row r="3459" spans="12:13">
      <c r="L3459" s="69">
        <v>719262</v>
      </c>
      <c r="M3459" t="s">
        <v>2501</v>
      </c>
    </row>
    <row r="3460" spans="12:13">
      <c r="L3460" s="69">
        <v>719263</v>
      </c>
      <c r="M3460" t="s">
        <v>2502</v>
      </c>
    </row>
    <row r="3461" spans="12:13">
      <c r="L3461" s="69">
        <v>719264</v>
      </c>
      <c r="M3461" t="s">
        <v>2503</v>
      </c>
    </row>
    <row r="3462" spans="12:13">
      <c r="L3462" s="69">
        <v>719265</v>
      </c>
      <c r="M3462" t="s">
        <v>2504</v>
      </c>
    </row>
    <row r="3463" spans="12:13">
      <c r="L3463" s="69">
        <v>719300</v>
      </c>
      <c r="M3463" t="s">
        <v>2505</v>
      </c>
    </row>
    <row r="3464" spans="12:13">
      <c r="L3464" s="69">
        <v>719310</v>
      </c>
      <c r="M3464" t="s">
        <v>2506</v>
      </c>
    </row>
    <row r="3465" spans="12:13">
      <c r="L3465" s="69">
        <v>719311</v>
      </c>
      <c r="M3465" t="s">
        <v>2507</v>
      </c>
    </row>
    <row r="3466" spans="12:13">
      <c r="L3466" s="69">
        <v>719320</v>
      </c>
      <c r="M3466" t="s">
        <v>2508</v>
      </c>
    </row>
    <row r="3467" spans="12:13">
      <c r="L3467" s="69">
        <v>719321</v>
      </c>
      <c r="M3467" t="s">
        <v>2509</v>
      </c>
    </row>
    <row r="3468" spans="12:13">
      <c r="L3468" s="69">
        <v>719330</v>
      </c>
      <c r="M3468" t="s">
        <v>2510</v>
      </c>
    </row>
    <row r="3469" spans="12:13">
      <c r="L3469" s="69">
        <v>719331</v>
      </c>
      <c r="M3469" t="s">
        <v>2511</v>
      </c>
    </row>
    <row r="3470" spans="12:13">
      <c r="L3470" s="69">
        <v>719400</v>
      </c>
      <c r="M3470" t="s">
        <v>2512</v>
      </c>
    </row>
    <row r="3471" spans="12:13">
      <c r="L3471" s="69">
        <v>719410</v>
      </c>
      <c r="M3471" t="s">
        <v>2513</v>
      </c>
    </row>
    <row r="3472" spans="12:13">
      <c r="L3472" s="69">
        <v>719411</v>
      </c>
      <c r="M3472" t="s">
        <v>2514</v>
      </c>
    </row>
    <row r="3473" spans="12:13">
      <c r="L3473" s="69">
        <v>719412</v>
      </c>
      <c r="M3473" t="s">
        <v>2515</v>
      </c>
    </row>
    <row r="3474" spans="12:13">
      <c r="L3474" s="69">
        <v>719413</v>
      </c>
      <c r="M3474" t="s">
        <v>2516</v>
      </c>
    </row>
    <row r="3475" spans="12:13">
      <c r="L3475" s="69">
        <v>719414</v>
      </c>
      <c r="M3475" t="s">
        <v>2517</v>
      </c>
    </row>
    <row r="3476" spans="12:13">
      <c r="L3476" s="69">
        <v>719415</v>
      </c>
      <c r="M3476" t="s">
        <v>2518</v>
      </c>
    </row>
    <row r="3477" spans="12:13">
      <c r="L3477" s="69">
        <v>719500</v>
      </c>
      <c r="M3477" t="s">
        <v>2519</v>
      </c>
    </row>
    <row r="3478" spans="12:13">
      <c r="L3478" s="69">
        <v>719510</v>
      </c>
      <c r="M3478" t="s">
        <v>2520</v>
      </c>
    </row>
    <row r="3479" spans="12:13">
      <c r="L3479" s="69">
        <v>719511</v>
      </c>
      <c r="M3479" t="s">
        <v>2521</v>
      </c>
    </row>
    <row r="3480" spans="12:13">
      <c r="L3480" s="69">
        <v>719600</v>
      </c>
      <c r="M3480" t="s">
        <v>2522</v>
      </c>
    </row>
    <row r="3481" spans="12:13">
      <c r="L3481" s="69">
        <v>719610</v>
      </c>
      <c r="M3481" t="s">
        <v>2523</v>
      </c>
    </row>
    <row r="3482" spans="12:13">
      <c r="L3482" s="69">
        <v>719611</v>
      </c>
      <c r="M3482" t="s">
        <v>2524</v>
      </c>
    </row>
    <row r="3483" spans="12:13">
      <c r="L3483" s="69">
        <v>720000</v>
      </c>
      <c r="M3483" t="s">
        <v>2525</v>
      </c>
    </row>
    <row r="3484" spans="12:13">
      <c r="L3484" s="69">
        <v>721000</v>
      </c>
      <c r="M3484" t="s">
        <v>2526</v>
      </c>
    </row>
    <row r="3485" spans="12:13">
      <c r="L3485" s="69">
        <v>721100</v>
      </c>
      <c r="M3485" t="s">
        <v>2527</v>
      </c>
    </row>
    <row r="3486" spans="12:13">
      <c r="L3486" s="69">
        <v>721110</v>
      </c>
      <c r="M3486" t="s">
        <v>2528</v>
      </c>
    </row>
    <row r="3487" spans="12:13">
      <c r="L3487" s="69">
        <v>721111</v>
      </c>
      <c r="M3487" t="s">
        <v>2529</v>
      </c>
    </row>
    <row r="3488" spans="12:13">
      <c r="L3488" s="69">
        <v>721112</v>
      </c>
      <c r="M3488" t="s">
        <v>2530</v>
      </c>
    </row>
    <row r="3489" spans="12:13">
      <c r="L3489" s="69">
        <v>721113</v>
      </c>
      <c r="M3489" t="s">
        <v>2531</v>
      </c>
    </row>
    <row r="3490" spans="12:13">
      <c r="L3490" s="69">
        <v>721114</v>
      </c>
      <c r="M3490" t="s">
        <v>2532</v>
      </c>
    </row>
    <row r="3491" spans="12:13">
      <c r="L3491" s="69">
        <v>721115</v>
      </c>
      <c r="M3491" t="s">
        <v>2533</v>
      </c>
    </row>
    <row r="3492" spans="12:13">
      <c r="L3492" s="69">
        <v>721116</v>
      </c>
      <c r="M3492" t="s">
        <v>2534</v>
      </c>
    </row>
    <row r="3493" spans="12:13">
      <c r="L3493" s="69">
        <v>721117</v>
      </c>
      <c r="M3493" t="s">
        <v>2535</v>
      </c>
    </row>
    <row r="3494" spans="12:13">
      <c r="L3494" s="69">
        <v>721118</v>
      </c>
      <c r="M3494" t="s">
        <v>2536</v>
      </c>
    </row>
    <row r="3495" spans="12:13">
      <c r="L3495" s="69">
        <v>721119</v>
      </c>
      <c r="M3495" t="s">
        <v>2537</v>
      </c>
    </row>
    <row r="3496" spans="12:13">
      <c r="L3496" s="69">
        <v>721120</v>
      </c>
      <c r="M3496" t="s">
        <v>2538</v>
      </c>
    </row>
    <row r="3497" spans="12:13">
      <c r="L3497" s="69">
        <v>721121</v>
      </c>
      <c r="M3497" t="s">
        <v>2539</v>
      </c>
    </row>
    <row r="3498" spans="12:13">
      <c r="L3498" s="69">
        <v>721122</v>
      </c>
      <c r="M3498" t="s">
        <v>2540</v>
      </c>
    </row>
    <row r="3499" spans="12:13">
      <c r="L3499" s="69">
        <v>721130</v>
      </c>
      <c r="M3499" t="s">
        <v>2541</v>
      </c>
    </row>
    <row r="3500" spans="12:13">
      <c r="L3500" s="69">
        <v>721131</v>
      </c>
      <c r="M3500" t="s">
        <v>2542</v>
      </c>
    </row>
    <row r="3501" spans="12:13">
      <c r="L3501" s="69">
        <v>721200</v>
      </c>
      <c r="M3501" t="s">
        <v>2543</v>
      </c>
    </row>
    <row r="3502" spans="12:13">
      <c r="L3502" s="69">
        <v>721210</v>
      </c>
      <c r="M3502" t="s">
        <v>2528</v>
      </c>
    </row>
    <row r="3503" spans="12:13">
      <c r="L3503" s="69">
        <v>721211</v>
      </c>
      <c r="M3503" t="s">
        <v>2544</v>
      </c>
    </row>
    <row r="3504" spans="12:13">
      <c r="L3504" s="69">
        <v>721212</v>
      </c>
      <c r="M3504" t="s">
        <v>2545</v>
      </c>
    </row>
    <row r="3505" spans="12:13">
      <c r="L3505" s="69">
        <v>721213</v>
      </c>
      <c r="M3505" t="s">
        <v>2546</v>
      </c>
    </row>
    <row r="3506" spans="12:13">
      <c r="L3506" s="69">
        <v>721214</v>
      </c>
      <c r="M3506" t="s">
        <v>2547</v>
      </c>
    </row>
    <row r="3507" spans="12:13">
      <c r="L3507" s="69">
        <v>721215</v>
      </c>
      <c r="M3507" t="s">
        <v>2548</v>
      </c>
    </row>
    <row r="3508" spans="12:13">
      <c r="L3508" s="69">
        <v>721216</v>
      </c>
      <c r="M3508" t="s">
        <v>2549</v>
      </c>
    </row>
    <row r="3509" spans="12:13">
      <c r="L3509" s="69">
        <v>721217</v>
      </c>
      <c r="M3509" t="s">
        <v>2550</v>
      </c>
    </row>
    <row r="3510" spans="12:13">
      <c r="L3510" s="69">
        <v>721218</v>
      </c>
      <c r="M3510" t="s">
        <v>2551</v>
      </c>
    </row>
    <row r="3511" spans="12:13">
      <c r="L3511" s="69">
        <v>721219</v>
      </c>
      <c r="M3511" t="s">
        <v>2552</v>
      </c>
    </row>
    <row r="3512" spans="12:13">
      <c r="L3512" s="69">
        <v>721220</v>
      </c>
      <c r="M3512" t="s">
        <v>2538</v>
      </c>
    </row>
    <row r="3513" spans="12:13">
      <c r="L3513" s="69">
        <v>721221</v>
      </c>
      <c r="M3513" t="s">
        <v>2553</v>
      </c>
    </row>
    <row r="3514" spans="12:13">
      <c r="L3514" s="69">
        <v>721222</v>
      </c>
      <c r="M3514" t="s">
        <v>2554</v>
      </c>
    </row>
    <row r="3515" spans="12:13">
      <c r="L3515" s="69">
        <v>721223</v>
      </c>
      <c r="M3515" t="s">
        <v>2555</v>
      </c>
    </row>
    <row r="3516" spans="12:13">
      <c r="L3516" s="69">
        <v>721224</v>
      </c>
      <c r="M3516" t="s">
        <v>2556</v>
      </c>
    </row>
    <row r="3517" spans="12:13">
      <c r="L3517" s="69">
        <v>721225</v>
      </c>
      <c r="M3517" t="s">
        <v>2557</v>
      </c>
    </row>
    <row r="3518" spans="12:13">
      <c r="L3518" s="69">
        <v>721226</v>
      </c>
      <c r="M3518" t="s">
        <v>2558</v>
      </c>
    </row>
    <row r="3519" spans="12:13">
      <c r="L3519" s="69">
        <v>721230</v>
      </c>
      <c r="M3519" t="s">
        <v>2541</v>
      </c>
    </row>
    <row r="3520" spans="12:13">
      <c r="L3520" s="69">
        <v>721231</v>
      </c>
      <c r="M3520" t="s">
        <v>2559</v>
      </c>
    </row>
    <row r="3521" spans="12:13">
      <c r="L3521" s="69">
        <v>721232</v>
      </c>
      <c r="M3521" t="s">
        <v>2560</v>
      </c>
    </row>
    <row r="3522" spans="12:13">
      <c r="L3522" s="69">
        <v>721233</v>
      </c>
      <c r="M3522" t="s">
        <v>2561</v>
      </c>
    </row>
    <row r="3523" spans="12:13">
      <c r="L3523" s="69">
        <v>721300</v>
      </c>
      <c r="M3523" t="s">
        <v>2562</v>
      </c>
    </row>
    <row r="3524" spans="12:13">
      <c r="L3524" s="69">
        <v>721310</v>
      </c>
      <c r="M3524" t="s">
        <v>2528</v>
      </c>
    </row>
    <row r="3525" spans="12:13">
      <c r="L3525" s="69">
        <v>721311</v>
      </c>
      <c r="M3525" t="s">
        <v>2563</v>
      </c>
    </row>
    <row r="3526" spans="12:13">
      <c r="L3526" s="69">
        <v>721312</v>
      </c>
      <c r="M3526" t="s">
        <v>2564</v>
      </c>
    </row>
    <row r="3527" spans="12:13">
      <c r="L3527" s="69">
        <v>721313</v>
      </c>
      <c r="M3527" t="s">
        <v>2565</v>
      </c>
    </row>
    <row r="3528" spans="12:13">
      <c r="L3528" s="69">
        <v>721314</v>
      </c>
      <c r="M3528" t="s">
        <v>2566</v>
      </c>
    </row>
    <row r="3529" spans="12:13">
      <c r="L3529" s="69">
        <v>721315</v>
      </c>
      <c r="M3529" t="s">
        <v>2567</v>
      </c>
    </row>
    <row r="3530" spans="12:13">
      <c r="L3530" s="69">
        <v>721316</v>
      </c>
      <c r="M3530" t="s">
        <v>2568</v>
      </c>
    </row>
    <row r="3531" spans="12:13">
      <c r="L3531" s="69">
        <v>721317</v>
      </c>
      <c r="M3531" t="s">
        <v>2569</v>
      </c>
    </row>
    <row r="3532" spans="12:13">
      <c r="L3532" s="69">
        <v>721318</v>
      </c>
      <c r="M3532" t="s">
        <v>2570</v>
      </c>
    </row>
    <row r="3533" spans="12:13">
      <c r="L3533" s="69">
        <v>721319</v>
      </c>
      <c r="M3533" t="s">
        <v>2571</v>
      </c>
    </row>
    <row r="3534" spans="12:13">
      <c r="L3534" s="69">
        <v>721320</v>
      </c>
      <c r="M3534" t="s">
        <v>2538</v>
      </c>
    </row>
    <row r="3535" spans="12:13">
      <c r="L3535" s="69">
        <v>721321</v>
      </c>
      <c r="M3535" t="s">
        <v>2572</v>
      </c>
    </row>
    <row r="3536" spans="12:13">
      <c r="L3536" s="69">
        <v>721322</v>
      </c>
      <c r="M3536" t="s">
        <v>2573</v>
      </c>
    </row>
    <row r="3537" spans="12:13">
      <c r="L3537" s="69">
        <v>721323</v>
      </c>
      <c r="M3537" t="s">
        <v>2574</v>
      </c>
    </row>
    <row r="3538" spans="12:13">
      <c r="L3538" s="69">
        <v>721324</v>
      </c>
      <c r="M3538" t="s">
        <v>2575</v>
      </c>
    </row>
    <row r="3539" spans="12:13">
      <c r="L3539" s="69">
        <v>721325</v>
      </c>
      <c r="M3539" t="s">
        <v>2576</v>
      </c>
    </row>
    <row r="3540" spans="12:13">
      <c r="L3540" s="69">
        <v>721330</v>
      </c>
      <c r="M3540" t="s">
        <v>2541</v>
      </c>
    </row>
    <row r="3541" spans="12:13">
      <c r="L3541" s="69">
        <v>721331</v>
      </c>
      <c r="M3541" t="s">
        <v>2577</v>
      </c>
    </row>
    <row r="3542" spans="12:13">
      <c r="L3542" s="69">
        <v>721332</v>
      </c>
      <c r="M3542" t="s">
        <v>2578</v>
      </c>
    </row>
    <row r="3543" spans="12:13">
      <c r="L3543" s="69">
        <v>721400</v>
      </c>
      <c r="M3543" t="s">
        <v>2579</v>
      </c>
    </row>
    <row r="3544" spans="12:13">
      <c r="L3544" s="69">
        <v>721410</v>
      </c>
      <c r="M3544" t="s">
        <v>2528</v>
      </c>
    </row>
    <row r="3545" spans="12:13">
      <c r="L3545" s="69">
        <v>721411</v>
      </c>
      <c r="M3545" t="s">
        <v>2580</v>
      </c>
    </row>
    <row r="3546" spans="12:13">
      <c r="L3546" s="69">
        <v>721412</v>
      </c>
      <c r="M3546" t="s">
        <v>2581</v>
      </c>
    </row>
    <row r="3547" spans="12:13">
      <c r="L3547" s="69">
        <v>721413</v>
      </c>
      <c r="M3547" t="s">
        <v>2582</v>
      </c>
    </row>
    <row r="3548" spans="12:13">
      <c r="L3548" s="69">
        <v>721414</v>
      </c>
      <c r="M3548" t="s">
        <v>2583</v>
      </c>
    </row>
    <row r="3549" spans="12:13">
      <c r="L3549" s="69">
        <v>721415</v>
      </c>
      <c r="M3549" t="s">
        <v>2584</v>
      </c>
    </row>
    <row r="3550" spans="12:13">
      <c r="L3550" s="69">
        <v>721416</v>
      </c>
      <c r="M3550" t="s">
        <v>2585</v>
      </c>
    </row>
    <row r="3551" spans="12:13">
      <c r="L3551" s="69">
        <v>721417</v>
      </c>
      <c r="M3551" t="s">
        <v>2586</v>
      </c>
    </row>
    <row r="3552" spans="12:13">
      <c r="L3552" s="69">
        <v>721418</v>
      </c>
      <c r="M3552" t="s">
        <v>2587</v>
      </c>
    </row>
    <row r="3553" spans="12:13">
      <c r="L3553" s="69">
        <v>721419</v>
      </c>
      <c r="M3553" t="s">
        <v>2588</v>
      </c>
    </row>
    <row r="3554" spans="12:13">
      <c r="L3554" s="69">
        <v>721420</v>
      </c>
      <c r="M3554" t="s">
        <v>2589</v>
      </c>
    </row>
    <row r="3555" spans="12:13">
      <c r="L3555" s="69">
        <v>721421</v>
      </c>
      <c r="M3555" t="s">
        <v>2589</v>
      </c>
    </row>
    <row r="3556" spans="12:13">
      <c r="L3556" s="69">
        <v>721430</v>
      </c>
      <c r="M3556" t="s">
        <v>2590</v>
      </c>
    </row>
    <row r="3557" spans="12:13">
      <c r="L3557" s="69">
        <v>721431</v>
      </c>
      <c r="M3557" t="s">
        <v>2590</v>
      </c>
    </row>
    <row r="3558" spans="12:13">
      <c r="L3558" s="69">
        <v>721432</v>
      </c>
      <c r="M3558" t="s">
        <v>2591</v>
      </c>
    </row>
    <row r="3559" spans="12:13">
      <c r="L3559" s="69">
        <v>722000</v>
      </c>
      <c r="M3559" t="s">
        <v>2592</v>
      </c>
    </row>
    <row r="3560" spans="12:13">
      <c r="L3560" s="69">
        <v>722100</v>
      </c>
      <c r="M3560" t="s">
        <v>2593</v>
      </c>
    </row>
    <row r="3561" spans="12:13">
      <c r="L3561" s="69">
        <v>722110</v>
      </c>
      <c r="M3561" t="s">
        <v>2593</v>
      </c>
    </row>
    <row r="3562" spans="12:13">
      <c r="L3562" s="69">
        <v>722111</v>
      </c>
      <c r="M3562" t="s">
        <v>2593</v>
      </c>
    </row>
    <row r="3563" spans="12:13">
      <c r="L3563" s="69">
        <v>722200</v>
      </c>
      <c r="M3563" t="s">
        <v>2594</v>
      </c>
    </row>
    <row r="3564" spans="12:13">
      <c r="L3564" s="69">
        <v>722210</v>
      </c>
      <c r="M3564" t="s">
        <v>2594</v>
      </c>
    </row>
    <row r="3565" spans="12:13">
      <c r="L3565" s="69">
        <v>722211</v>
      </c>
      <c r="M3565" t="s">
        <v>2594</v>
      </c>
    </row>
    <row r="3566" spans="12:13">
      <c r="L3566" s="69">
        <v>722300</v>
      </c>
      <c r="M3566" t="s">
        <v>2595</v>
      </c>
    </row>
    <row r="3567" spans="12:13">
      <c r="L3567" s="69">
        <v>722310</v>
      </c>
      <c r="M3567" t="s">
        <v>2595</v>
      </c>
    </row>
    <row r="3568" spans="12:13">
      <c r="L3568" s="69">
        <v>722311</v>
      </c>
      <c r="M3568" t="s">
        <v>2595</v>
      </c>
    </row>
    <row r="3569" spans="12:13">
      <c r="L3569" s="69">
        <v>730000</v>
      </c>
      <c r="M3569" t="s">
        <v>2597</v>
      </c>
    </row>
    <row r="3570" spans="12:13">
      <c r="L3570" s="69">
        <v>731000</v>
      </c>
      <c r="M3570" t="s">
        <v>2598</v>
      </c>
    </row>
    <row r="3571" spans="12:13">
      <c r="L3571" s="69">
        <v>731100</v>
      </c>
      <c r="M3571" t="s">
        <v>2599</v>
      </c>
    </row>
    <row r="3572" spans="12:13">
      <c r="L3572" s="69">
        <v>731120</v>
      </c>
      <c r="M3572" t="s">
        <v>2600</v>
      </c>
    </row>
    <row r="3573" spans="12:13">
      <c r="L3573" s="69">
        <v>731121</v>
      </c>
      <c r="M3573" t="s">
        <v>2600</v>
      </c>
    </row>
    <row r="3574" spans="12:13">
      <c r="L3574" s="69">
        <v>731130</v>
      </c>
      <c r="M3574" t="s">
        <v>2601</v>
      </c>
    </row>
    <row r="3575" spans="12:13">
      <c r="L3575" s="69">
        <v>731131</v>
      </c>
      <c r="M3575" t="s">
        <v>2602</v>
      </c>
    </row>
    <row r="3576" spans="12:13">
      <c r="L3576" s="69">
        <v>731132</v>
      </c>
      <c r="M3576" t="s">
        <v>2603</v>
      </c>
    </row>
    <row r="3577" spans="12:13">
      <c r="L3577" s="69">
        <v>731140</v>
      </c>
      <c r="M3577" t="s">
        <v>2604</v>
      </c>
    </row>
    <row r="3578" spans="12:13">
      <c r="L3578" s="69">
        <v>731141</v>
      </c>
      <c r="M3578" t="s">
        <v>2604</v>
      </c>
    </row>
    <row r="3579" spans="12:13">
      <c r="L3579" s="69">
        <v>731150</v>
      </c>
      <c r="M3579" t="s">
        <v>2605</v>
      </c>
    </row>
    <row r="3580" spans="12:13">
      <c r="L3580" s="69">
        <v>731151</v>
      </c>
      <c r="M3580" t="s">
        <v>2605</v>
      </c>
    </row>
    <row r="3581" spans="12:13">
      <c r="L3581" s="69">
        <v>731160</v>
      </c>
      <c r="M3581" t="s">
        <v>2606</v>
      </c>
    </row>
    <row r="3582" spans="12:13">
      <c r="L3582" s="69">
        <v>731161</v>
      </c>
      <c r="M3582" t="s">
        <v>2607</v>
      </c>
    </row>
    <row r="3583" spans="12:13">
      <c r="L3583" s="69">
        <v>731162</v>
      </c>
      <c r="M3583" t="s">
        <v>2608</v>
      </c>
    </row>
    <row r="3584" spans="12:13">
      <c r="L3584" s="69">
        <v>731165</v>
      </c>
      <c r="M3584" t="s">
        <v>2609</v>
      </c>
    </row>
    <row r="3585" spans="12:13">
      <c r="L3585" s="69">
        <v>731200</v>
      </c>
      <c r="M3585" t="s">
        <v>2610</v>
      </c>
    </row>
    <row r="3586" spans="12:13">
      <c r="L3586" s="69">
        <v>731220</v>
      </c>
      <c r="M3586" t="s">
        <v>2611</v>
      </c>
    </row>
    <row r="3587" spans="12:13">
      <c r="L3587" s="69">
        <v>731221</v>
      </c>
      <c r="M3587" t="s">
        <v>2611</v>
      </c>
    </row>
    <row r="3588" spans="12:13">
      <c r="L3588" s="69">
        <v>731230</v>
      </c>
      <c r="M3588" t="s">
        <v>2612</v>
      </c>
    </row>
    <row r="3589" spans="12:13">
      <c r="L3589" s="69">
        <v>731231</v>
      </c>
      <c r="M3589" t="s">
        <v>2613</v>
      </c>
    </row>
    <row r="3590" spans="12:13">
      <c r="L3590" s="69">
        <v>731232</v>
      </c>
      <c r="M3590" t="s">
        <v>2614</v>
      </c>
    </row>
    <row r="3591" spans="12:13">
      <c r="L3591" s="69">
        <v>731240</v>
      </c>
      <c r="M3591" t="s">
        <v>2615</v>
      </c>
    </row>
    <row r="3592" spans="12:13">
      <c r="L3592" s="69">
        <v>731241</v>
      </c>
      <c r="M3592" t="s">
        <v>2615</v>
      </c>
    </row>
    <row r="3593" spans="12:13">
      <c r="L3593" s="69">
        <v>731250</v>
      </c>
      <c r="M3593" t="s">
        <v>2616</v>
      </c>
    </row>
    <row r="3594" spans="12:13">
      <c r="L3594" s="69">
        <v>731251</v>
      </c>
      <c r="M3594" t="s">
        <v>2616</v>
      </c>
    </row>
    <row r="3595" spans="12:13">
      <c r="L3595" s="69">
        <v>731260</v>
      </c>
      <c r="M3595" t="s">
        <v>2617</v>
      </c>
    </row>
    <row r="3596" spans="12:13">
      <c r="L3596" s="69">
        <v>731261</v>
      </c>
      <c r="M3596" t="s">
        <v>2618</v>
      </c>
    </row>
    <row r="3597" spans="12:13">
      <c r="L3597" s="69">
        <v>731262</v>
      </c>
      <c r="M3597" t="s">
        <v>2619</v>
      </c>
    </row>
    <row r="3598" spans="12:13">
      <c r="L3598" s="69">
        <v>731265</v>
      </c>
      <c r="M3598" t="s">
        <v>2620</v>
      </c>
    </row>
    <row r="3599" spans="12:13">
      <c r="L3599" s="69">
        <v>732000</v>
      </c>
      <c r="M3599" t="s">
        <v>2622</v>
      </c>
    </row>
    <row r="3600" spans="12:13">
      <c r="L3600" s="69">
        <v>732100</v>
      </c>
      <c r="M3600" t="s">
        <v>2623</v>
      </c>
    </row>
    <row r="3601" spans="12:13">
      <c r="L3601" s="69">
        <v>732120</v>
      </c>
      <c r="M3601" t="s">
        <v>2624</v>
      </c>
    </row>
    <row r="3602" spans="12:13">
      <c r="L3602" s="69">
        <v>732121</v>
      </c>
      <c r="M3602" t="s">
        <v>2624</v>
      </c>
    </row>
    <row r="3603" spans="12:13">
      <c r="L3603" s="69">
        <v>732130</v>
      </c>
      <c r="M3603" t="s">
        <v>2625</v>
      </c>
    </row>
    <row r="3604" spans="12:13">
      <c r="L3604" s="69">
        <v>732131</v>
      </c>
      <c r="M3604" t="s">
        <v>2626</v>
      </c>
    </row>
    <row r="3605" spans="12:13">
      <c r="L3605" s="69">
        <v>732132</v>
      </c>
      <c r="M3605" t="s">
        <v>2627</v>
      </c>
    </row>
    <row r="3606" spans="12:13">
      <c r="L3606" s="69">
        <v>732140</v>
      </c>
      <c r="M3606" t="s">
        <v>2628</v>
      </c>
    </row>
    <row r="3607" spans="12:13">
      <c r="L3607" s="69">
        <v>732141</v>
      </c>
      <c r="M3607" t="s">
        <v>2628</v>
      </c>
    </row>
    <row r="3608" spans="12:13">
      <c r="L3608" s="69">
        <v>732150</v>
      </c>
      <c r="M3608" t="s">
        <v>2629</v>
      </c>
    </row>
    <row r="3609" spans="12:13">
      <c r="L3609" s="69">
        <v>732151</v>
      </c>
      <c r="M3609" t="s">
        <v>2629</v>
      </c>
    </row>
    <row r="3610" spans="12:13">
      <c r="L3610" s="69">
        <v>732160</v>
      </c>
      <c r="M3610" t="s">
        <v>2630</v>
      </c>
    </row>
    <row r="3611" spans="12:13">
      <c r="L3611" s="69">
        <v>732161</v>
      </c>
      <c r="M3611" t="s">
        <v>2631</v>
      </c>
    </row>
    <row r="3612" spans="12:13">
      <c r="L3612" s="69">
        <v>732162</v>
      </c>
      <c r="M3612" t="s">
        <v>2632</v>
      </c>
    </row>
    <row r="3613" spans="12:13">
      <c r="L3613" s="69">
        <v>732165</v>
      </c>
      <c r="M3613" t="s">
        <v>2633</v>
      </c>
    </row>
    <row r="3614" spans="12:13">
      <c r="L3614" s="69">
        <v>732200</v>
      </c>
      <c r="M3614" t="s">
        <v>2634</v>
      </c>
    </row>
    <row r="3615" spans="12:13">
      <c r="L3615" s="69">
        <v>732220</v>
      </c>
      <c r="M3615" t="s">
        <v>2635</v>
      </c>
    </row>
    <row r="3616" spans="12:13">
      <c r="L3616" s="69">
        <v>732221</v>
      </c>
      <c r="M3616" t="s">
        <v>2635</v>
      </c>
    </row>
    <row r="3617" spans="12:13">
      <c r="L3617" s="69">
        <v>732230</v>
      </c>
      <c r="M3617" t="s">
        <v>2636</v>
      </c>
    </row>
    <row r="3618" spans="12:13">
      <c r="L3618" s="69">
        <v>732231</v>
      </c>
      <c r="M3618" t="s">
        <v>2637</v>
      </c>
    </row>
    <row r="3619" spans="12:13">
      <c r="L3619" s="69">
        <v>732232</v>
      </c>
      <c r="M3619" t="s">
        <v>2638</v>
      </c>
    </row>
    <row r="3620" spans="12:13">
      <c r="L3620" s="69">
        <v>732240</v>
      </c>
      <c r="M3620" t="s">
        <v>2639</v>
      </c>
    </row>
    <row r="3621" spans="12:13">
      <c r="L3621" s="69">
        <v>732241</v>
      </c>
      <c r="M3621" t="s">
        <v>2639</v>
      </c>
    </row>
    <row r="3622" spans="12:13">
      <c r="L3622" s="69">
        <v>732250</v>
      </c>
      <c r="M3622" t="s">
        <v>2640</v>
      </c>
    </row>
    <row r="3623" spans="12:13">
      <c r="L3623" s="69">
        <v>732251</v>
      </c>
      <c r="M3623" t="s">
        <v>2640</v>
      </c>
    </row>
    <row r="3624" spans="12:13">
      <c r="L3624" s="69">
        <v>732260</v>
      </c>
      <c r="M3624" t="s">
        <v>2641</v>
      </c>
    </row>
    <row r="3625" spans="12:13">
      <c r="L3625" s="69">
        <v>732261</v>
      </c>
      <c r="M3625" t="s">
        <v>2642</v>
      </c>
    </row>
    <row r="3626" spans="12:13">
      <c r="L3626" s="69">
        <v>732262</v>
      </c>
      <c r="M3626" t="s">
        <v>2643</v>
      </c>
    </row>
    <row r="3627" spans="12:13">
      <c r="L3627" s="69">
        <v>732265</v>
      </c>
      <c r="M3627" t="s">
        <v>2644</v>
      </c>
    </row>
    <row r="3628" spans="12:13">
      <c r="L3628" s="69">
        <v>733000</v>
      </c>
      <c r="M3628" t="s">
        <v>2646</v>
      </c>
    </row>
    <row r="3629" spans="12:13">
      <c r="L3629" s="69">
        <v>733100</v>
      </c>
      <c r="M3629" t="s">
        <v>2647</v>
      </c>
    </row>
    <row r="3630" spans="12:13">
      <c r="L3630" s="69">
        <v>733120</v>
      </c>
      <c r="M3630" t="s">
        <v>2648</v>
      </c>
    </row>
    <row r="3631" spans="12:13">
      <c r="L3631" s="69">
        <v>733121</v>
      </c>
      <c r="M3631" t="s">
        <v>2648</v>
      </c>
    </row>
    <row r="3632" spans="12:13">
      <c r="L3632" s="69">
        <v>733130</v>
      </c>
      <c r="M3632" t="s">
        <v>2649</v>
      </c>
    </row>
    <row r="3633" spans="12:13">
      <c r="L3633" s="69">
        <v>733131</v>
      </c>
      <c r="M3633" t="s">
        <v>2650</v>
      </c>
    </row>
    <row r="3634" spans="12:13">
      <c r="L3634" s="69">
        <v>733132</v>
      </c>
      <c r="M3634" t="s">
        <v>2651</v>
      </c>
    </row>
    <row r="3635" spans="12:13">
      <c r="L3635" s="69">
        <v>733133</v>
      </c>
      <c r="M3635" t="s">
        <v>2652</v>
      </c>
    </row>
    <row r="3636" spans="12:13">
      <c r="L3636" s="69">
        <v>733134</v>
      </c>
      <c r="M3636" t="s">
        <v>2653</v>
      </c>
    </row>
    <row r="3637" spans="12:13">
      <c r="L3637" s="69">
        <v>733135</v>
      </c>
      <c r="M3637" t="s">
        <v>2654</v>
      </c>
    </row>
    <row r="3638" spans="12:13">
      <c r="L3638" s="69">
        <v>733136</v>
      </c>
      <c r="M3638" t="s">
        <v>2655</v>
      </c>
    </row>
    <row r="3639" spans="12:13">
      <c r="L3639" s="69">
        <v>733140</v>
      </c>
      <c r="M3639" t="s">
        <v>2656</v>
      </c>
    </row>
    <row r="3640" spans="12:13">
      <c r="L3640" s="69">
        <v>733141</v>
      </c>
      <c r="M3640" t="s">
        <v>2657</v>
      </c>
    </row>
    <row r="3641" spans="12:13">
      <c r="L3641" s="69">
        <v>733142</v>
      </c>
      <c r="M3641" t="s">
        <v>2658</v>
      </c>
    </row>
    <row r="3642" spans="12:13">
      <c r="L3642" s="69">
        <v>733143</v>
      </c>
      <c r="M3642" t="s">
        <v>2659</v>
      </c>
    </row>
    <row r="3643" spans="12:13">
      <c r="L3643" s="69">
        <v>733144</v>
      </c>
      <c r="M3643" t="s">
        <v>2660</v>
      </c>
    </row>
    <row r="3644" spans="12:13">
      <c r="L3644" s="69">
        <v>733145</v>
      </c>
      <c r="M3644" t="s">
        <v>2661</v>
      </c>
    </row>
    <row r="3645" spans="12:13">
      <c r="L3645" s="69">
        <v>733146</v>
      </c>
      <c r="M3645" t="s">
        <v>2662</v>
      </c>
    </row>
    <row r="3646" spans="12:13">
      <c r="L3646" s="69">
        <v>733147</v>
      </c>
      <c r="M3646" t="s">
        <v>2663</v>
      </c>
    </row>
    <row r="3647" spans="12:13">
      <c r="L3647" s="69">
        <v>733148</v>
      </c>
      <c r="M3647" t="s">
        <v>2664</v>
      </c>
    </row>
    <row r="3648" spans="12:13">
      <c r="L3648" s="69">
        <v>733150</v>
      </c>
      <c r="M3648" t="s">
        <v>2665</v>
      </c>
    </row>
    <row r="3649" spans="12:13">
      <c r="L3649" s="69">
        <v>733151</v>
      </c>
      <c r="M3649" t="s">
        <v>2666</v>
      </c>
    </row>
    <row r="3650" spans="12:13">
      <c r="L3650" s="69">
        <v>733152</v>
      </c>
      <c r="M3650" t="s">
        <v>2667</v>
      </c>
    </row>
    <row r="3651" spans="12:13">
      <c r="L3651" s="69">
        <v>733153</v>
      </c>
      <c r="M3651" t="s">
        <v>2668</v>
      </c>
    </row>
    <row r="3652" spans="12:13">
      <c r="L3652" s="69">
        <v>733154</v>
      </c>
      <c r="M3652" t="s">
        <v>2669</v>
      </c>
    </row>
    <row r="3653" spans="12:13">
      <c r="L3653" s="69">
        <v>733155</v>
      </c>
      <c r="M3653" t="s">
        <v>2670</v>
      </c>
    </row>
    <row r="3654" spans="12:13">
      <c r="L3654" s="69">
        <v>733156</v>
      </c>
      <c r="M3654" t="s">
        <v>2671</v>
      </c>
    </row>
    <row r="3655" spans="12:13">
      <c r="L3655" s="69">
        <v>733157</v>
      </c>
      <c r="M3655" t="s">
        <v>2672</v>
      </c>
    </row>
    <row r="3656" spans="12:13">
      <c r="L3656" s="69">
        <v>733158</v>
      </c>
      <c r="M3656" t="s">
        <v>2664</v>
      </c>
    </row>
    <row r="3657" spans="12:13">
      <c r="L3657" s="69">
        <v>733160</v>
      </c>
      <c r="M3657" t="s">
        <v>2673</v>
      </c>
    </row>
    <row r="3658" spans="12:13">
      <c r="L3658" s="69">
        <v>733161</v>
      </c>
      <c r="M3658" t="s">
        <v>2674</v>
      </c>
    </row>
    <row r="3659" spans="12:13">
      <c r="L3659" s="69">
        <v>733162</v>
      </c>
      <c r="M3659" t="s">
        <v>2675</v>
      </c>
    </row>
    <row r="3660" spans="12:13">
      <c r="L3660" s="69">
        <v>733163</v>
      </c>
      <c r="M3660" t="s">
        <v>2676</v>
      </c>
    </row>
    <row r="3661" spans="12:13">
      <c r="L3661" s="69">
        <v>733164</v>
      </c>
      <c r="M3661" t="s">
        <v>2677</v>
      </c>
    </row>
    <row r="3662" spans="12:13">
      <c r="L3662" s="69">
        <v>733165</v>
      </c>
      <c r="M3662" t="s">
        <v>2678</v>
      </c>
    </row>
    <row r="3663" spans="12:13">
      <c r="L3663" s="69">
        <v>733166</v>
      </c>
      <c r="M3663" t="s">
        <v>2679</v>
      </c>
    </row>
    <row r="3664" spans="12:13">
      <c r="L3664" s="69">
        <v>733167</v>
      </c>
      <c r="M3664" t="s">
        <v>2680</v>
      </c>
    </row>
    <row r="3665" spans="12:13">
      <c r="L3665" s="69">
        <v>733168</v>
      </c>
      <c r="M3665" t="s">
        <v>2681</v>
      </c>
    </row>
    <row r="3666" spans="12:13">
      <c r="L3666" s="69">
        <v>733200</v>
      </c>
      <c r="M3666" t="s">
        <v>2682</v>
      </c>
    </row>
    <row r="3667" spans="12:13">
      <c r="L3667" s="69">
        <v>733220</v>
      </c>
      <c r="M3667" t="s">
        <v>2683</v>
      </c>
    </row>
    <row r="3668" spans="12:13">
      <c r="L3668" s="69">
        <v>733221</v>
      </c>
      <c r="M3668" t="s">
        <v>2683</v>
      </c>
    </row>
    <row r="3669" spans="12:13">
      <c r="L3669" s="69">
        <v>733230</v>
      </c>
      <c r="M3669" t="s">
        <v>2684</v>
      </c>
    </row>
    <row r="3670" spans="12:13">
      <c r="L3670" s="69">
        <v>733231</v>
      </c>
      <c r="M3670" t="s">
        <v>2685</v>
      </c>
    </row>
    <row r="3671" spans="12:13">
      <c r="L3671" s="69">
        <v>733232</v>
      </c>
      <c r="M3671" t="s">
        <v>2686</v>
      </c>
    </row>
    <row r="3672" spans="12:13">
      <c r="L3672" s="69">
        <v>733233</v>
      </c>
      <c r="M3672" t="s">
        <v>2687</v>
      </c>
    </row>
    <row r="3673" spans="12:13">
      <c r="L3673" s="69">
        <v>733234</v>
      </c>
      <c r="M3673" t="s">
        <v>2688</v>
      </c>
    </row>
    <row r="3674" spans="12:13">
      <c r="L3674" s="69">
        <v>733235</v>
      </c>
      <c r="M3674" t="s">
        <v>2689</v>
      </c>
    </row>
    <row r="3675" spans="12:13">
      <c r="L3675" s="69">
        <v>733236</v>
      </c>
      <c r="M3675" t="s">
        <v>2690</v>
      </c>
    </row>
    <row r="3676" spans="12:13">
      <c r="L3676" s="69">
        <v>733240</v>
      </c>
      <c r="M3676" t="s">
        <v>2691</v>
      </c>
    </row>
    <row r="3677" spans="12:13">
      <c r="L3677" s="69">
        <v>733241</v>
      </c>
      <c r="M3677" t="s">
        <v>2692</v>
      </c>
    </row>
    <row r="3678" spans="12:13">
      <c r="L3678" s="69">
        <v>733242</v>
      </c>
      <c r="M3678" t="s">
        <v>2693</v>
      </c>
    </row>
    <row r="3679" spans="12:13">
      <c r="L3679" s="69">
        <v>733243</v>
      </c>
      <c r="M3679" t="s">
        <v>2694</v>
      </c>
    </row>
    <row r="3680" spans="12:13">
      <c r="L3680" s="69">
        <v>733250</v>
      </c>
      <c r="M3680" t="s">
        <v>2695</v>
      </c>
    </row>
    <row r="3681" spans="12:13">
      <c r="L3681" s="69">
        <v>733251</v>
      </c>
      <c r="M3681" t="s">
        <v>2696</v>
      </c>
    </row>
    <row r="3682" spans="12:13">
      <c r="L3682" s="69">
        <v>733252</v>
      </c>
      <c r="M3682" t="s">
        <v>2697</v>
      </c>
    </row>
    <row r="3683" spans="12:13">
      <c r="L3683" s="69">
        <v>733253</v>
      </c>
      <c r="M3683" t="s">
        <v>2698</v>
      </c>
    </row>
    <row r="3684" spans="12:13">
      <c r="L3684" s="69">
        <v>733260</v>
      </c>
      <c r="M3684" t="s">
        <v>2699</v>
      </c>
    </row>
    <row r="3685" spans="12:13">
      <c r="L3685" s="69">
        <v>733261</v>
      </c>
      <c r="M3685" t="s">
        <v>2700</v>
      </c>
    </row>
    <row r="3686" spans="12:13">
      <c r="L3686" s="69">
        <v>733262</v>
      </c>
      <c r="M3686" t="s">
        <v>2701</v>
      </c>
    </row>
    <row r="3687" spans="12:13">
      <c r="L3687" s="69">
        <v>733265</v>
      </c>
      <c r="M3687" t="s">
        <v>2702</v>
      </c>
    </row>
    <row r="3688" spans="12:13">
      <c r="L3688" s="69">
        <v>740000</v>
      </c>
      <c r="M3688" t="s">
        <v>2704</v>
      </c>
    </row>
    <row r="3689" spans="12:13">
      <c r="L3689" s="69">
        <v>741000</v>
      </c>
      <c r="M3689" t="s">
        <v>2706</v>
      </c>
    </row>
    <row r="3690" spans="12:13">
      <c r="L3690" s="69">
        <v>741100</v>
      </c>
      <c r="M3690" t="s">
        <v>2707</v>
      </c>
    </row>
    <row r="3691" spans="12:13">
      <c r="L3691" s="69">
        <v>741120</v>
      </c>
      <c r="M3691" t="s">
        <v>2708</v>
      </c>
    </row>
    <row r="3692" spans="12:13">
      <c r="L3692" s="69">
        <v>741121</v>
      </c>
      <c r="M3692" t="s">
        <v>2709</v>
      </c>
    </row>
    <row r="3693" spans="12:13">
      <c r="L3693" s="69">
        <v>741122</v>
      </c>
      <c r="M3693" t="s">
        <v>2710</v>
      </c>
    </row>
    <row r="3694" spans="12:13">
      <c r="L3694" s="69">
        <v>741130</v>
      </c>
      <c r="M3694" t="s">
        <v>2711</v>
      </c>
    </row>
    <row r="3695" spans="12:13">
      <c r="L3695" s="69">
        <v>741131</v>
      </c>
      <c r="M3695" t="s">
        <v>2712</v>
      </c>
    </row>
    <row r="3696" spans="12:13">
      <c r="L3696" s="69">
        <v>741132</v>
      </c>
      <c r="M3696" t="s">
        <v>2713</v>
      </c>
    </row>
    <row r="3697" spans="12:13">
      <c r="L3697" s="69">
        <v>741140</v>
      </c>
      <c r="M3697" t="s">
        <v>2714</v>
      </c>
    </row>
    <row r="3698" spans="12:13">
      <c r="L3698" s="69">
        <v>741141</v>
      </c>
      <c r="M3698" t="s">
        <v>2715</v>
      </c>
    </row>
    <row r="3699" spans="12:13">
      <c r="L3699" s="69">
        <v>741142</v>
      </c>
      <c r="M3699" t="s">
        <v>2716</v>
      </c>
    </row>
    <row r="3700" spans="12:13">
      <c r="L3700" s="69">
        <v>741150</v>
      </c>
      <c r="M3700" t="s">
        <v>2717</v>
      </c>
    </row>
    <row r="3701" spans="12:13">
      <c r="L3701" s="69">
        <v>741151</v>
      </c>
      <c r="M3701" t="s">
        <v>2718</v>
      </c>
    </row>
    <row r="3702" spans="12:13">
      <c r="L3702" s="69">
        <v>741152</v>
      </c>
      <c r="M3702" t="s">
        <v>2719</v>
      </c>
    </row>
    <row r="3703" spans="12:13">
      <c r="L3703" s="69">
        <v>741160</v>
      </c>
      <c r="M3703" t="s">
        <v>2720</v>
      </c>
    </row>
    <row r="3704" spans="12:13">
      <c r="L3704" s="69">
        <v>741161</v>
      </c>
      <c r="M3704" t="s">
        <v>2721</v>
      </c>
    </row>
    <row r="3705" spans="12:13">
      <c r="L3705" s="69">
        <v>741162</v>
      </c>
      <c r="M3705" t="s">
        <v>2722</v>
      </c>
    </row>
    <row r="3706" spans="12:13">
      <c r="L3706" s="69">
        <v>741165</v>
      </c>
      <c r="M3706" t="s">
        <v>2723</v>
      </c>
    </row>
    <row r="3707" spans="12:13">
      <c r="L3707" s="69">
        <v>741200</v>
      </c>
      <c r="M3707" t="s">
        <v>2724</v>
      </c>
    </row>
    <row r="3708" spans="12:13">
      <c r="L3708" s="69">
        <v>741210</v>
      </c>
      <c r="M3708" t="s">
        <v>2725</v>
      </c>
    </row>
    <row r="3709" spans="12:13">
      <c r="L3709" s="69">
        <v>741211</v>
      </c>
      <c r="M3709" t="s">
        <v>2726</v>
      </c>
    </row>
    <row r="3710" spans="12:13">
      <c r="L3710" s="69">
        <v>741212</v>
      </c>
      <c r="M3710" t="s">
        <v>2727</v>
      </c>
    </row>
    <row r="3711" spans="12:13">
      <c r="L3711" s="69">
        <v>741220</v>
      </c>
      <c r="M3711" t="s">
        <v>2728</v>
      </c>
    </row>
    <row r="3712" spans="12:13">
      <c r="L3712" s="69">
        <v>741221</v>
      </c>
      <c r="M3712" t="s">
        <v>2728</v>
      </c>
    </row>
    <row r="3713" spans="12:13">
      <c r="L3713" s="69">
        <v>741222</v>
      </c>
      <c r="M3713" t="s">
        <v>2729</v>
      </c>
    </row>
    <row r="3714" spans="12:13">
      <c r="L3714" s="69">
        <v>741223</v>
      </c>
      <c r="M3714" t="s">
        <v>2730</v>
      </c>
    </row>
    <row r="3715" spans="12:13">
      <c r="L3715" s="69">
        <v>741224</v>
      </c>
      <c r="M3715" t="s">
        <v>2731</v>
      </c>
    </row>
    <row r="3716" spans="12:13">
      <c r="L3716" s="69">
        <v>741230</v>
      </c>
      <c r="M3716" t="s">
        <v>2732</v>
      </c>
    </row>
    <row r="3717" spans="12:13">
      <c r="L3717" s="69">
        <v>741231</v>
      </c>
      <c r="M3717" t="s">
        <v>2733</v>
      </c>
    </row>
    <row r="3718" spans="12:13">
      <c r="L3718" s="69">
        <v>741232</v>
      </c>
      <c r="M3718" t="s">
        <v>2734</v>
      </c>
    </row>
    <row r="3719" spans="12:13">
      <c r="L3719" s="69">
        <v>741240</v>
      </c>
      <c r="M3719" t="s">
        <v>2735</v>
      </c>
    </row>
    <row r="3720" spans="12:13">
      <c r="L3720" s="69">
        <v>741241</v>
      </c>
      <c r="M3720" t="s">
        <v>2735</v>
      </c>
    </row>
    <row r="3721" spans="12:13">
      <c r="L3721" s="69">
        <v>741250</v>
      </c>
      <c r="M3721" t="s">
        <v>2736</v>
      </c>
    </row>
    <row r="3722" spans="12:13">
      <c r="L3722" s="69">
        <v>741251</v>
      </c>
      <c r="M3722" t="s">
        <v>2736</v>
      </c>
    </row>
    <row r="3723" spans="12:13">
      <c r="L3723" s="69">
        <v>741260</v>
      </c>
      <c r="M3723" t="s">
        <v>2737</v>
      </c>
    </row>
    <row r="3724" spans="12:13">
      <c r="L3724" s="69">
        <v>741261</v>
      </c>
      <c r="M3724" t="s">
        <v>2738</v>
      </c>
    </row>
    <row r="3725" spans="12:13">
      <c r="L3725" s="69">
        <v>741262</v>
      </c>
      <c r="M3725" t="s">
        <v>2739</v>
      </c>
    </row>
    <row r="3726" spans="12:13">
      <c r="L3726" s="69">
        <v>741265</v>
      </c>
      <c r="M3726" t="s">
        <v>2740</v>
      </c>
    </row>
    <row r="3727" spans="12:13">
      <c r="L3727" s="69">
        <v>741300</v>
      </c>
      <c r="M3727" t="s">
        <v>2741</v>
      </c>
    </row>
    <row r="3728" spans="12:13">
      <c r="L3728" s="69">
        <v>741310</v>
      </c>
      <c r="M3728" t="s">
        <v>2741</v>
      </c>
    </row>
    <row r="3729" spans="12:13">
      <c r="L3729" s="69">
        <v>741311</v>
      </c>
      <c r="M3729" t="s">
        <v>2741</v>
      </c>
    </row>
    <row r="3730" spans="12:13">
      <c r="L3730" s="69">
        <v>741400</v>
      </c>
      <c r="M3730" t="s">
        <v>2742</v>
      </c>
    </row>
    <row r="3731" spans="12:13">
      <c r="L3731" s="69">
        <v>741410</v>
      </c>
      <c r="M3731" t="s">
        <v>2742</v>
      </c>
    </row>
    <row r="3732" spans="12:13">
      <c r="L3732" s="69">
        <v>741411</v>
      </c>
      <c r="M3732" t="s">
        <v>2744</v>
      </c>
    </row>
    <row r="3733" spans="12:13">
      <c r="L3733" s="69">
        <v>741412</v>
      </c>
      <c r="M3733" t="s">
        <v>2745</v>
      </c>
    </row>
    <row r="3734" spans="12:13">
      <c r="L3734" s="69">
        <v>741413</v>
      </c>
      <c r="M3734" t="s">
        <v>2746</v>
      </c>
    </row>
    <row r="3735" spans="12:13">
      <c r="L3735" s="69">
        <v>741414</v>
      </c>
      <c r="M3735" t="s">
        <v>2747</v>
      </c>
    </row>
    <row r="3736" spans="12:13">
      <c r="L3736" s="69">
        <v>741500</v>
      </c>
      <c r="M3736" t="s">
        <v>2748</v>
      </c>
    </row>
    <row r="3737" spans="12:13">
      <c r="L3737" s="69">
        <v>741510</v>
      </c>
      <c r="M3737" t="s">
        <v>2750</v>
      </c>
    </row>
    <row r="3738" spans="12:13">
      <c r="L3738" s="69">
        <v>741511</v>
      </c>
      <c r="M3738" t="s">
        <v>2751</v>
      </c>
    </row>
    <row r="3739" spans="12:13">
      <c r="L3739" s="69">
        <v>741512</v>
      </c>
      <c r="M3739" t="s">
        <v>2752</v>
      </c>
    </row>
    <row r="3740" spans="12:13">
      <c r="L3740" s="69">
        <v>741513</v>
      </c>
      <c r="M3740" t="s">
        <v>2753</v>
      </c>
    </row>
    <row r="3741" spans="12:13">
      <c r="L3741" s="69">
        <v>741514</v>
      </c>
      <c r="M3741" t="s">
        <v>2754</v>
      </c>
    </row>
    <row r="3742" spans="12:13">
      <c r="L3742" s="69">
        <v>741515</v>
      </c>
      <c r="M3742" t="s">
        <v>2755</v>
      </c>
    </row>
    <row r="3743" spans="12:13">
      <c r="L3743" s="69">
        <v>741516</v>
      </c>
      <c r="M3743" t="s">
        <v>2756</v>
      </c>
    </row>
    <row r="3744" spans="12:13">
      <c r="L3744" s="69">
        <v>741517</v>
      </c>
      <c r="M3744" t="s">
        <v>2757</v>
      </c>
    </row>
    <row r="3745" spans="12:13">
      <c r="L3745" s="69">
        <v>741520</v>
      </c>
      <c r="M3745" t="s">
        <v>2758</v>
      </c>
    </row>
    <row r="3746" spans="12:13">
      <c r="L3746" s="69">
        <v>741521</v>
      </c>
      <c r="M3746" t="s">
        <v>2759</v>
      </c>
    </row>
    <row r="3747" spans="12:13">
      <c r="L3747" s="69">
        <v>741522</v>
      </c>
      <c r="M3747" t="s">
        <v>2760</v>
      </c>
    </row>
    <row r="3748" spans="12:13">
      <c r="L3748" s="69">
        <v>741523</v>
      </c>
      <c r="M3748" t="s">
        <v>2761</v>
      </c>
    </row>
    <row r="3749" spans="12:13">
      <c r="L3749" s="69">
        <v>741524</v>
      </c>
      <c r="M3749" t="s">
        <v>2762</v>
      </c>
    </row>
    <row r="3750" spans="12:13">
      <c r="L3750" s="69">
        <v>741525</v>
      </c>
      <c r="M3750" t="s">
        <v>2763</v>
      </c>
    </row>
    <row r="3751" spans="12:13">
      <c r="L3751" s="69">
        <v>741526</v>
      </c>
      <c r="M3751" t="s">
        <v>2764</v>
      </c>
    </row>
    <row r="3752" spans="12:13">
      <c r="L3752" s="69">
        <v>741527</v>
      </c>
      <c r="M3752" t="s">
        <v>2765</v>
      </c>
    </row>
    <row r="3753" spans="12:13">
      <c r="L3753" s="69">
        <v>741528</v>
      </c>
      <c r="M3753" t="s">
        <v>2766</v>
      </c>
    </row>
    <row r="3754" spans="12:13">
      <c r="L3754" s="69">
        <v>741529</v>
      </c>
      <c r="M3754" t="s">
        <v>2767</v>
      </c>
    </row>
    <row r="3755" spans="12:13">
      <c r="L3755" s="69">
        <v>741530</v>
      </c>
      <c r="M3755" t="s">
        <v>2768</v>
      </c>
    </row>
    <row r="3756" spans="12:13">
      <c r="L3756" s="69">
        <v>741531</v>
      </c>
      <c r="M3756" t="s">
        <v>2770</v>
      </c>
    </row>
    <row r="3757" spans="12:13">
      <c r="L3757" s="69">
        <v>741532</v>
      </c>
      <c r="M3757" t="s">
        <v>2772</v>
      </c>
    </row>
    <row r="3758" spans="12:13">
      <c r="L3758" s="69">
        <v>741533</v>
      </c>
      <c r="M3758" t="s">
        <v>2774</v>
      </c>
    </row>
    <row r="3759" spans="12:13">
      <c r="L3759" s="69">
        <v>741534</v>
      </c>
      <c r="M3759" t="s">
        <v>2776</v>
      </c>
    </row>
    <row r="3760" spans="12:13">
      <c r="L3760" s="69">
        <v>741535</v>
      </c>
      <c r="M3760" t="s">
        <v>2778</v>
      </c>
    </row>
    <row r="3761" spans="12:13">
      <c r="L3761" s="69">
        <v>741536</v>
      </c>
      <c r="M3761" t="s">
        <v>2779</v>
      </c>
    </row>
    <row r="3762" spans="12:13">
      <c r="L3762" s="69">
        <v>741537</v>
      </c>
      <c r="M3762" t="s">
        <v>2780</v>
      </c>
    </row>
    <row r="3763" spans="12:13">
      <c r="L3763" s="69">
        <v>741540</v>
      </c>
      <c r="M3763" t="s">
        <v>2781</v>
      </c>
    </row>
    <row r="3764" spans="12:13">
      <c r="L3764" s="69">
        <v>741541</v>
      </c>
      <c r="M3764" t="s">
        <v>2782</v>
      </c>
    </row>
    <row r="3765" spans="12:13">
      <c r="L3765" s="69">
        <v>741542</v>
      </c>
      <c r="M3765" t="s">
        <v>2784</v>
      </c>
    </row>
    <row r="3766" spans="12:13">
      <c r="L3766" s="69">
        <v>741543</v>
      </c>
      <c r="M3766" t="s">
        <v>2785</v>
      </c>
    </row>
    <row r="3767" spans="12:13">
      <c r="L3767" s="69">
        <v>741550</v>
      </c>
      <c r="M3767" t="s">
        <v>2786</v>
      </c>
    </row>
    <row r="3768" spans="12:13">
      <c r="L3768" s="69">
        <v>741551</v>
      </c>
      <c r="M3768" t="s">
        <v>2786</v>
      </c>
    </row>
    <row r="3769" spans="12:13">
      <c r="L3769" s="69">
        <v>741560</v>
      </c>
      <c r="M3769" t="s">
        <v>2788</v>
      </c>
    </row>
    <row r="3770" spans="12:13">
      <c r="L3770" s="69">
        <v>741561</v>
      </c>
      <c r="M3770" t="s">
        <v>2789</v>
      </c>
    </row>
    <row r="3771" spans="12:13">
      <c r="L3771" s="69">
        <v>741562</v>
      </c>
      <c r="M3771" t="s">
        <v>2790</v>
      </c>
    </row>
    <row r="3772" spans="12:13">
      <c r="L3772" s="69">
        <v>741563</v>
      </c>
      <c r="M3772" t="s">
        <v>2791</v>
      </c>
    </row>
    <row r="3773" spans="12:13">
      <c r="L3773" s="69">
        <v>741564</v>
      </c>
      <c r="M3773" t="s">
        <v>2792</v>
      </c>
    </row>
    <row r="3774" spans="12:13">
      <c r="L3774" s="69">
        <v>741565</v>
      </c>
      <c r="M3774" t="s">
        <v>2793</v>
      </c>
    </row>
    <row r="3775" spans="12:13">
      <c r="L3775" s="69">
        <v>741566</v>
      </c>
      <c r="M3775" t="s">
        <v>2794</v>
      </c>
    </row>
    <row r="3776" spans="12:13">
      <c r="L3776" s="69">
        <v>741567</v>
      </c>
      <c r="M3776" t="s">
        <v>2795</v>
      </c>
    </row>
    <row r="3777" spans="12:13">
      <c r="L3777" s="69">
        <v>741568</v>
      </c>
      <c r="M3777" t="s">
        <v>2796</v>
      </c>
    </row>
    <row r="3778" spans="12:13">
      <c r="L3778" s="69">
        <v>741569</v>
      </c>
      <c r="M3778" t="s">
        <v>2797</v>
      </c>
    </row>
    <row r="3779" spans="12:13">
      <c r="L3779" s="69">
        <v>741570</v>
      </c>
      <c r="M3779" t="s">
        <v>2798</v>
      </c>
    </row>
    <row r="3780" spans="12:13">
      <c r="L3780" s="69">
        <v>741571</v>
      </c>
      <c r="M3780" t="s">
        <v>2798</v>
      </c>
    </row>
    <row r="3781" spans="12:13">
      <c r="L3781" s="69">
        <v>741572</v>
      </c>
      <c r="M3781" t="s">
        <v>2799</v>
      </c>
    </row>
    <row r="3782" spans="12:13">
      <c r="L3782" s="69">
        <v>741580</v>
      </c>
      <c r="M3782" t="s">
        <v>2800</v>
      </c>
    </row>
    <row r="3783" spans="12:13">
      <c r="L3783" s="69">
        <v>741581</v>
      </c>
      <c r="M3783" t="s">
        <v>2801</v>
      </c>
    </row>
    <row r="3784" spans="12:13">
      <c r="L3784" s="69">
        <v>741582</v>
      </c>
      <c r="M3784" t="s">
        <v>2802</v>
      </c>
    </row>
    <row r="3785" spans="12:13">
      <c r="L3785" s="69">
        <v>741583</v>
      </c>
      <c r="M3785" t="s">
        <v>2803</v>
      </c>
    </row>
    <row r="3786" spans="12:13">
      <c r="L3786" s="69">
        <v>741590</v>
      </c>
      <c r="M3786" t="s">
        <v>2804</v>
      </c>
    </row>
    <row r="3787" spans="12:13">
      <c r="L3787" s="69">
        <v>741591</v>
      </c>
      <c r="M3787" t="s">
        <v>2805</v>
      </c>
    </row>
    <row r="3788" spans="12:13">
      <c r="L3788" s="69">
        <v>741592</v>
      </c>
      <c r="M3788" t="s">
        <v>2806</v>
      </c>
    </row>
    <row r="3789" spans="12:13">
      <c r="L3789" s="69">
        <v>741593</v>
      </c>
      <c r="M3789" t="s">
        <v>2807</v>
      </c>
    </row>
    <row r="3790" spans="12:13">
      <c r="L3790" s="69">
        <v>741594</v>
      </c>
      <c r="M3790" t="s">
        <v>2808</v>
      </c>
    </row>
    <row r="3791" spans="12:13">
      <c r="L3791" s="69">
        <v>741595</v>
      </c>
      <c r="M3791" t="s">
        <v>2809</v>
      </c>
    </row>
    <row r="3792" spans="12:13">
      <c r="L3792" s="69">
        <v>741600</v>
      </c>
      <c r="M3792" t="s">
        <v>1658</v>
      </c>
    </row>
    <row r="3793" spans="12:13">
      <c r="L3793" s="69">
        <v>741610</v>
      </c>
      <c r="M3793" t="s">
        <v>1658</v>
      </c>
    </row>
    <row r="3794" spans="12:13">
      <c r="L3794" s="69">
        <v>741611</v>
      </c>
      <c r="M3794" t="s">
        <v>1658</v>
      </c>
    </row>
    <row r="3795" spans="12:13">
      <c r="L3795" s="69">
        <v>742000</v>
      </c>
      <c r="M3795" t="s">
        <v>2811</v>
      </c>
    </row>
    <row r="3796" spans="12:13">
      <c r="L3796" s="69">
        <v>742100</v>
      </c>
      <c r="M3796" t="s">
        <v>2812</v>
      </c>
    </row>
    <row r="3797" spans="12:13">
      <c r="L3797" s="69">
        <v>742120</v>
      </c>
      <c r="M3797" t="s">
        <v>2813</v>
      </c>
    </row>
    <row r="3798" spans="12:13">
      <c r="L3798" s="69">
        <v>742121</v>
      </c>
      <c r="M3798" t="s">
        <v>2814</v>
      </c>
    </row>
    <row r="3799" spans="12:13">
      <c r="L3799" s="69">
        <v>742122</v>
      </c>
      <c r="M3799" t="s">
        <v>2815</v>
      </c>
    </row>
    <row r="3800" spans="12:13">
      <c r="L3800" s="69">
        <v>742123</v>
      </c>
      <c r="M3800" t="s">
        <v>2816</v>
      </c>
    </row>
    <row r="3801" spans="12:13">
      <c r="L3801" s="69">
        <v>742124</v>
      </c>
      <c r="M3801" t="s">
        <v>2817</v>
      </c>
    </row>
    <row r="3802" spans="12:13">
      <c r="L3802" s="69">
        <v>742125</v>
      </c>
      <c r="M3802" t="s">
        <v>2818</v>
      </c>
    </row>
    <row r="3803" spans="12:13">
      <c r="L3803" s="69">
        <v>742126</v>
      </c>
      <c r="M3803" t="s">
        <v>2819</v>
      </c>
    </row>
    <row r="3804" spans="12:13">
      <c r="L3804" s="69">
        <v>742127</v>
      </c>
      <c r="M3804" t="s">
        <v>2820</v>
      </c>
    </row>
    <row r="3805" spans="12:13">
      <c r="L3805" s="69">
        <v>742128</v>
      </c>
      <c r="M3805" t="s">
        <v>2821</v>
      </c>
    </row>
    <row r="3806" spans="12:13">
      <c r="L3806" s="69">
        <v>742129</v>
      </c>
      <c r="M3806" t="s">
        <v>2822</v>
      </c>
    </row>
    <row r="3807" spans="12:13">
      <c r="L3807" s="69">
        <v>742130</v>
      </c>
      <c r="M3807" t="s">
        <v>2823</v>
      </c>
    </row>
    <row r="3808" spans="12:13">
      <c r="L3808" s="69">
        <v>742131</v>
      </c>
      <c r="M3808" t="s">
        <v>2824</v>
      </c>
    </row>
    <row r="3809" spans="12:13">
      <c r="L3809" s="69">
        <v>742132</v>
      </c>
      <c r="M3809" t="s">
        <v>2825</v>
      </c>
    </row>
    <row r="3810" spans="12:13">
      <c r="L3810" s="69">
        <v>742133</v>
      </c>
      <c r="M3810" t="s">
        <v>2826</v>
      </c>
    </row>
    <row r="3811" spans="12:13">
      <c r="L3811" s="69">
        <v>742134</v>
      </c>
      <c r="M3811" t="s">
        <v>2827</v>
      </c>
    </row>
    <row r="3812" spans="12:13">
      <c r="L3812" s="69">
        <v>742135</v>
      </c>
      <c r="M3812" t="s">
        <v>2828</v>
      </c>
    </row>
    <row r="3813" spans="12:13">
      <c r="L3813" s="69">
        <v>742136</v>
      </c>
      <c r="M3813" t="s">
        <v>2829</v>
      </c>
    </row>
    <row r="3814" spans="12:13">
      <c r="L3814" s="69">
        <v>742140</v>
      </c>
      <c r="M3814" t="s">
        <v>2830</v>
      </c>
    </row>
    <row r="3815" spans="12:13">
      <c r="L3815" s="69">
        <v>742141</v>
      </c>
      <c r="M3815" t="s">
        <v>2830</v>
      </c>
    </row>
    <row r="3816" spans="12:13">
      <c r="L3816" s="69">
        <v>742142</v>
      </c>
      <c r="M3816" t="s">
        <v>2831</v>
      </c>
    </row>
    <row r="3817" spans="12:13">
      <c r="L3817" s="69">
        <v>742143</v>
      </c>
      <c r="M3817" t="s">
        <v>2832</v>
      </c>
    </row>
    <row r="3818" spans="12:13">
      <c r="L3818" s="69">
        <v>742144</v>
      </c>
      <c r="M3818" t="s">
        <v>2833</v>
      </c>
    </row>
    <row r="3819" spans="12:13">
      <c r="L3819" s="69">
        <v>742145</v>
      </c>
      <c r="M3819" t="s">
        <v>2834</v>
      </c>
    </row>
    <row r="3820" spans="12:13">
      <c r="L3820" s="69">
        <v>742150</v>
      </c>
      <c r="M3820" t="s">
        <v>2835</v>
      </c>
    </row>
    <row r="3821" spans="12:13">
      <c r="L3821" s="69">
        <v>742151</v>
      </c>
      <c r="M3821" t="s">
        <v>2836</v>
      </c>
    </row>
    <row r="3822" spans="12:13">
      <c r="L3822" s="69">
        <v>742152</v>
      </c>
      <c r="M3822" t="s">
        <v>2837</v>
      </c>
    </row>
    <row r="3823" spans="12:13">
      <c r="L3823" s="69">
        <v>742153</v>
      </c>
      <c r="M3823" t="s">
        <v>2838</v>
      </c>
    </row>
    <row r="3824" spans="12:13">
      <c r="L3824" s="69">
        <v>742154</v>
      </c>
      <c r="M3824" t="s">
        <v>2839</v>
      </c>
    </row>
    <row r="3825" spans="12:13">
      <c r="L3825" s="69">
        <v>742155</v>
      </c>
      <c r="M3825" t="s">
        <v>2840</v>
      </c>
    </row>
    <row r="3826" spans="12:13">
      <c r="L3826" s="69">
        <v>742160</v>
      </c>
      <c r="M3826" t="s">
        <v>2841</v>
      </c>
    </row>
    <row r="3827" spans="12:13">
      <c r="L3827" s="69">
        <v>742161</v>
      </c>
      <c r="M3827" t="s">
        <v>2842</v>
      </c>
    </row>
    <row r="3828" spans="12:13">
      <c r="L3828" s="69">
        <v>742162</v>
      </c>
      <c r="M3828" t="s">
        <v>2843</v>
      </c>
    </row>
    <row r="3829" spans="12:13">
      <c r="L3829" s="69">
        <v>742165</v>
      </c>
      <c r="M3829" t="s">
        <v>2844</v>
      </c>
    </row>
    <row r="3830" spans="12:13">
      <c r="L3830" s="69">
        <v>742200</v>
      </c>
      <c r="M3830" t="s">
        <v>2845</v>
      </c>
    </row>
    <row r="3831" spans="12:13">
      <c r="L3831" s="69">
        <v>742210</v>
      </c>
      <c r="M3831" t="s">
        <v>2846</v>
      </c>
    </row>
    <row r="3832" spans="12:13">
      <c r="L3832" s="69">
        <v>742213</v>
      </c>
      <c r="M3832" t="s">
        <v>2846</v>
      </c>
    </row>
    <row r="3833" spans="12:13">
      <c r="L3833" s="69">
        <v>742220</v>
      </c>
      <c r="M3833" t="s">
        <v>2847</v>
      </c>
    </row>
    <row r="3834" spans="12:13">
      <c r="L3834" s="69">
        <v>742221</v>
      </c>
      <c r="M3834" t="s">
        <v>2848</v>
      </c>
    </row>
    <row r="3835" spans="12:13">
      <c r="L3835" s="69">
        <v>742222</v>
      </c>
      <c r="M3835" t="s">
        <v>2849</v>
      </c>
    </row>
    <row r="3836" spans="12:13">
      <c r="L3836" s="69">
        <v>742223</v>
      </c>
      <c r="M3836" t="s">
        <v>2850</v>
      </c>
    </row>
    <row r="3837" spans="12:13">
      <c r="L3837" s="69">
        <v>742224</v>
      </c>
      <c r="M3837" t="s">
        <v>2851</v>
      </c>
    </row>
    <row r="3838" spans="12:13">
      <c r="L3838" s="69">
        <v>742225</v>
      </c>
      <c r="M3838" t="s">
        <v>2852</v>
      </c>
    </row>
    <row r="3839" spans="12:13">
      <c r="L3839" s="69">
        <v>742226</v>
      </c>
      <c r="M3839" t="s">
        <v>2853</v>
      </c>
    </row>
    <row r="3840" spans="12:13">
      <c r="L3840" s="69">
        <v>742227</v>
      </c>
      <c r="M3840" t="s">
        <v>2854</v>
      </c>
    </row>
    <row r="3841" spans="12:13">
      <c r="L3841" s="69">
        <v>742228</v>
      </c>
      <c r="M3841" t="s">
        <v>2855</v>
      </c>
    </row>
    <row r="3842" spans="12:13">
      <c r="L3842" s="69">
        <v>742229</v>
      </c>
      <c r="M3842" t="s">
        <v>2856</v>
      </c>
    </row>
    <row r="3843" spans="12:13">
      <c r="L3843" s="69">
        <v>742230</v>
      </c>
      <c r="M3843" t="s">
        <v>2857</v>
      </c>
    </row>
    <row r="3844" spans="12:13">
      <c r="L3844" s="69">
        <v>742231</v>
      </c>
      <c r="M3844" t="s">
        <v>2858</v>
      </c>
    </row>
    <row r="3845" spans="12:13">
      <c r="L3845" s="69">
        <v>742232</v>
      </c>
      <c r="M3845" t="s">
        <v>2859</v>
      </c>
    </row>
    <row r="3846" spans="12:13">
      <c r="L3846" s="69">
        <v>742240</v>
      </c>
      <c r="M3846" t="s">
        <v>2860</v>
      </c>
    </row>
    <row r="3847" spans="12:13">
      <c r="L3847" s="69">
        <v>742241</v>
      </c>
      <c r="M3847" t="s">
        <v>2861</v>
      </c>
    </row>
    <row r="3848" spans="12:13">
      <c r="L3848" s="69">
        <v>742250</v>
      </c>
      <c r="M3848" t="s">
        <v>2862</v>
      </c>
    </row>
    <row r="3849" spans="12:13">
      <c r="L3849" s="69">
        <v>742251</v>
      </c>
      <c r="M3849" t="s">
        <v>2863</v>
      </c>
    </row>
    <row r="3850" spans="12:13">
      <c r="L3850" s="69">
        <v>742252</v>
      </c>
      <c r="M3850" t="s">
        <v>2864</v>
      </c>
    </row>
    <row r="3851" spans="12:13">
      <c r="L3851" s="69">
        <v>742253</v>
      </c>
      <c r="M3851" t="s">
        <v>2865</v>
      </c>
    </row>
    <row r="3852" spans="12:13">
      <c r="L3852" s="69">
        <v>742254</v>
      </c>
      <c r="M3852" t="s">
        <v>2866</v>
      </c>
    </row>
    <row r="3853" spans="12:13">
      <c r="L3853" s="69">
        <v>742260</v>
      </c>
      <c r="M3853" t="s">
        <v>2867</v>
      </c>
    </row>
    <row r="3854" spans="12:13">
      <c r="L3854" s="69">
        <v>742261</v>
      </c>
      <c r="M3854" t="s">
        <v>2868</v>
      </c>
    </row>
    <row r="3855" spans="12:13">
      <c r="L3855" s="69">
        <v>742262</v>
      </c>
      <c r="M3855" t="s">
        <v>2869</v>
      </c>
    </row>
    <row r="3856" spans="12:13">
      <c r="L3856" s="69">
        <v>742265</v>
      </c>
      <c r="M3856" t="s">
        <v>2870</v>
      </c>
    </row>
    <row r="3857" spans="12:13">
      <c r="L3857" s="69">
        <v>742270</v>
      </c>
      <c r="M3857" t="s">
        <v>2871</v>
      </c>
    </row>
    <row r="3858" spans="12:13">
      <c r="L3858" s="69">
        <v>742271</v>
      </c>
      <c r="M3858" t="s">
        <v>2872</v>
      </c>
    </row>
    <row r="3859" spans="12:13">
      <c r="L3859" s="69">
        <v>742272</v>
      </c>
      <c r="M3859" t="s">
        <v>2873</v>
      </c>
    </row>
    <row r="3860" spans="12:13">
      <c r="L3860" s="69">
        <v>742280</v>
      </c>
      <c r="M3860" t="s">
        <v>2874</v>
      </c>
    </row>
    <row r="3861" spans="12:13">
      <c r="L3861" s="69">
        <v>742281</v>
      </c>
      <c r="M3861" t="s">
        <v>2875</v>
      </c>
    </row>
    <row r="3862" spans="12:13">
      <c r="L3862" s="69">
        <v>742282</v>
      </c>
      <c r="M3862" t="s">
        <v>2876</v>
      </c>
    </row>
    <row r="3863" spans="12:13">
      <c r="L3863" s="69">
        <v>742283</v>
      </c>
      <c r="M3863" t="s">
        <v>2877</v>
      </c>
    </row>
    <row r="3864" spans="12:13">
      <c r="L3864" s="69">
        <v>742284</v>
      </c>
      <c r="M3864" t="s">
        <v>2878</v>
      </c>
    </row>
    <row r="3865" spans="12:13">
      <c r="L3865" s="69">
        <v>742285</v>
      </c>
      <c r="M3865" t="s">
        <v>2879</v>
      </c>
    </row>
    <row r="3866" spans="12:13">
      <c r="L3866" s="69">
        <v>742286</v>
      </c>
      <c r="M3866" t="s">
        <v>2880</v>
      </c>
    </row>
    <row r="3867" spans="12:13">
      <c r="L3867" s="69">
        <v>742287</v>
      </c>
      <c r="M3867" t="s">
        <v>2881</v>
      </c>
    </row>
    <row r="3868" spans="12:13">
      <c r="L3868" s="69">
        <v>742288</v>
      </c>
      <c r="M3868" t="s">
        <v>2882</v>
      </c>
    </row>
    <row r="3869" spans="12:13">
      <c r="L3869" s="69">
        <v>742289</v>
      </c>
      <c r="M3869" t="s">
        <v>2883</v>
      </c>
    </row>
    <row r="3870" spans="12:13">
      <c r="L3870" s="69">
        <v>742290</v>
      </c>
      <c r="M3870" t="s">
        <v>2884</v>
      </c>
    </row>
    <row r="3871" spans="12:13">
      <c r="L3871" s="69">
        <v>742291</v>
      </c>
      <c r="M3871" t="s">
        <v>2885</v>
      </c>
    </row>
    <row r="3872" spans="12:13">
      <c r="L3872" s="69">
        <v>742292</v>
      </c>
      <c r="M3872" t="s">
        <v>2886</v>
      </c>
    </row>
    <row r="3873" spans="12:13">
      <c r="L3873" s="69">
        <v>742300</v>
      </c>
      <c r="M3873" t="s">
        <v>2887</v>
      </c>
    </row>
    <row r="3874" spans="12:13">
      <c r="L3874" s="69">
        <v>742310</v>
      </c>
      <c r="M3874" t="s">
        <v>2888</v>
      </c>
    </row>
    <row r="3875" spans="12:13">
      <c r="L3875" s="69">
        <v>742312</v>
      </c>
      <c r="M3875" t="s">
        <v>2889</v>
      </c>
    </row>
    <row r="3876" spans="12:13">
      <c r="L3876" s="69">
        <v>742320</v>
      </c>
      <c r="M3876" t="s">
        <v>2890</v>
      </c>
    </row>
    <row r="3877" spans="12:13">
      <c r="L3877" s="69">
        <v>742321</v>
      </c>
      <c r="M3877" t="s">
        <v>2891</v>
      </c>
    </row>
    <row r="3878" spans="12:13">
      <c r="L3878" s="69">
        <v>742322</v>
      </c>
      <c r="M3878" t="s">
        <v>2892</v>
      </c>
    </row>
    <row r="3879" spans="12:13">
      <c r="L3879" s="69">
        <v>742323</v>
      </c>
      <c r="M3879" t="s">
        <v>2893</v>
      </c>
    </row>
    <row r="3880" spans="12:13">
      <c r="L3880" s="69">
        <v>742324</v>
      </c>
      <c r="M3880" t="s">
        <v>2894</v>
      </c>
    </row>
    <row r="3881" spans="12:13">
      <c r="L3881" s="69">
        <v>742325</v>
      </c>
      <c r="M3881" t="s">
        <v>2895</v>
      </c>
    </row>
    <row r="3882" spans="12:13">
      <c r="L3882" s="69">
        <v>742326</v>
      </c>
      <c r="M3882" t="s">
        <v>2896</v>
      </c>
    </row>
    <row r="3883" spans="12:13">
      <c r="L3883" s="69">
        <v>742327</v>
      </c>
      <c r="M3883" t="s">
        <v>2897</v>
      </c>
    </row>
    <row r="3884" spans="12:13">
      <c r="L3884" s="69">
        <v>742328</v>
      </c>
      <c r="M3884" t="s">
        <v>2898</v>
      </c>
    </row>
    <row r="3885" spans="12:13">
      <c r="L3885" s="69">
        <v>742329</v>
      </c>
      <c r="M3885" t="s">
        <v>2899</v>
      </c>
    </row>
    <row r="3886" spans="12:13">
      <c r="L3886" s="69">
        <v>742330</v>
      </c>
      <c r="M3886" t="s">
        <v>2900</v>
      </c>
    </row>
    <row r="3887" spans="12:13">
      <c r="L3887" s="69">
        <v>742331</v>
      </c>
      <c r="M3887" t="s">
        <v>2901</v>
      </c>
    </row>
    <row r="3888" spans="12:13">
      <c r="L3888" s="69">
        <v>742332</v>
      </c>
      <c r="M3888" t="s">
        <v>2902</v>
      </c>
    </row>
    <row r="3889" spans="12:13">
      <c r="L3889" s="69">
        <v>742340</v>
      </c>
      <c r="M3889" t="s">
        <v>2903</v>
      </c>
    </row>
    <row r="3890" spans="12:13">
      <c r="L3890" s="69">
        <v>742341</v>
      </c>
      <c r="M3890" t="s">
        <v>2904</v>
      </c>
    </row>
    <row r="3891" spans="12:13">
      <c r="L3891" s="69">
        <v>742350</v>
      </c>
      <c r="M3891" t="s">
        <v>2905</v>
      </c>
    </row>
    <row r="3892" spans="12:13">
      <c r="L3892" s="69">
        <v>742351</v>
      </c>
      <c r="M3892" t="s">
        <v>2906</v>
      </c>
    </row>
    <row r="3893" spans="12:13">
      <c r="L3893" s="69">
        <v>742360</v>
      </c>
      <c r="M3893" t="s">
        <v>2907</v>
      </c>
    </row>
    <row r="3894" spans="12:13">
      <c r="L3894" s="69">
        <v>742361</v>
      </c>
      <c r="M3894" t="s">
        <v>2907</v>
      </c>
    </row>
    <row r="3895" spans="12:13">
      <c r="L3895" s="69">
        <v>742370</v>
      </c>
      <c r="M3895" t="s">
        <v>2908</v>
      </c>
    </row>
    <row r="3896" spans="12:13">
      <c r="L3896" s="69">
        <v>742371</v>
      </c>
      <c r="M3896" t="s">
        <v>2909</v>
      </c>
    </row>
    <row r="3897" spans="12:13">
      <c r="L3897" s="69">
        <v>742372</v>
      </c>
      <c r="M3897" t="s">
        <v>2910</v>
      </c>
    </row>
    <row r="3898" spans="12:13">
      <c r="L3898" s="69">
        <v>742373</v>
      </c>
      <c r="M3898" t="s">
        <v>2911</v>
      </c>
    </row>
    <row r="3899" spans="12:13">
      <c r="L3899" s="69">
        <v>742378</v>
      </c>
      <c r="M3899" t="s">
        <v>2912</v>
      </c>
    </row>
    <row r="3900" spans="12:13">
      <c r="L3900" s="69">
        <v>742400</v>
      </c>
      <c r="M3900" t="s">
        <v>2913</v>
      </c>
    </row>
    <row r="3901" spans="12:13">
      <c r="L3901" s="69">
        <v>742410</v>
      </c>
      <c r="M3901" t="s">
        <v>2913</v>
      </c>
    </row>
    <row r="3902" spans="12:13">
      <c r="L3902" s="69">
        <v>742411</v>
      </c>
      <c r="M3902" t="s">
        <v>2913</v>
      </c>
    </row>
    <row r="3903" spans="12:13">
      <c r="L3903" s="69">
        <v>743000</v>
      </c>
      <c r="M3903" t="s">
        <v>2915</v>
      </c>
    </row>
    <row r="3904" spans="12:13">
      <c r="L3904" s="69">
        <v>743100</v>
      </c>
      <c r="M3904" t="s">
        <v>2916</v>
      </c>
    </row>
    <row r="3905" spans="12:13">
      <c r="L3905" s="69">
        <v>743120</v>
      </c>
      <c r="M3905" t="s">
        <v>2917</v>
      </c>
    </row>
    <row r="3906" spans="12:13">
      <c r="L3906" s="69">
        <v>743121</v>
      </c>
      <c r="M3906" t="s">
        <v>2916</v>
      </c>
    </row>
    <row r="3907" spans="12:13">
      <c r="L3907" s="69">
        <v>743122</v>
      </c>
      <c r="M3907" t="s">
        <v>2918</v>
      </c>
    </row>
    <row r="3908" spans="12:13">
      <c r="L3908" s="69">
        <v>743123</v>
      </c>
      <c r="M3908" t="s">
        <v>2919</v>
      </c>
    </row>
    <row r="3909" spans="12:13">
      <c r="L3909" s="69">
        <v>743124</v>
      </c>
      <c r="M3909" t="s">
        <v>2920</v>
      </c>
    </row>
    <row r="3910" spans="12:13">
      <c r="L3910" s="69">
        <v>743130</v>
      </c>
      <c r="M3910" t="s">
        <v>2921</v>
      </c>
    </row>
    <row r="3911" spans="12:13">
      <c r="L3911" s="69">
        <v>743131</v>
      </c>
      <c r="M3911" t="s">
        <v>2921</v>
      </c>
    </row>
    <row r="3912" spans="12:13">
      <c r="L3912" s="69">
        <v>743140</v>
      </c>
      <c r="M3912" t="s">
        <v>2922</v>
      </c>
    </row>
    <row r="3913" spans="12:13">
      <c r="L3913" s="69">
        <v>743141</v>
      </c>
      <c r="M3913" t="s">
        <v>2922</v>
      </c>
    </row>
    <row r="3914" spans="12:13">
      <c r="L3914" s="69">
        <v>743150</v>
      </c>
      <c r="M3914" t="s">
        <v>2923</v>
      </c>
    </row>
    <row r="3915" spans="12:13">
      <c r="L3915" s="69">
        <v>743151</v>
      </c>
      <c r="M3915" t="s">
        <v>2923</v>
      </c>
    </row>
    <row r="3916" spans="12:13">
      <c r="L3916" s="69">
        <v>743160</v>
      </c>
      <c r="M3916" t="s">
        <v>2924</v>
      </c>
    </row>
    <row r="3917" spans="12:13">
      <c r="L3917" s="69">
        <v>743161</v>
      </c>
      <c r="M3917" t="s">
        <v>2924</v>
      </c>
    </row>
    <row r="3918" spans="12:13">
      <c r="L3918" s="69">
        <v>743200</v>
      </c>
      <c r="M3918" t="s">
        <v>2925</v>
      </c>
    </row>
    <row r="3919" spans="12:13">
      <c r="L3919" s="69">
        <v>743220</v>
      </c>
      <c r="M3919" t="s">
        <v>2926</v>
      </c>
    </row>
    <row r="3920" spans="12:13">
      <c r="L3920" s="69">
        <v>743221</v>
      </c>
      <c r="M3920" t="s">
        <v>2925</v>
      </c>
    </row>
    <row r="3921" spans="12:13">
      <c r="L3921" s="69">
        <v>743222</v>
      </c>
      <c r="M3921" t="s">
        <v>2927</v>
      </c>
    </row>
    <row r="3922" spans="12:13">
      <c r="L3922" s="69">
        <v>743223</v>
      </c>
      <c r="M3922" t="s">
        <v>2928</v>
      </c>
    </row>
    <row r="3923" spans="12:13">
      <c r="L3923" s="69">
        <v>743224</v>
      </c>
      <c r="M3923" t="s">
        <v>2929</v>
      </c>
    </row>
    <row r="3924" spans="12:13">
      <c r="L3924" s="69">
        <v>743230</v>
      </c>
      <c r="M3924" t="s">
        <v>2930</v>
      </c>
    </row>
    <row r="3925" spans="12:13">
      <c r="L3925" s="69">
        <v>743231</v>
      </c>
      <c r="M3925" t="s">
        <v>2930</v>
      </c>
    </row>
    <row r="3926" spans="12:13">
      <c r="L3926" s="69">
        <v>743240</v>
      </c>
      <c r="M3926" t="s">
        <v>2931</v>
      </c>
    </row>
    <row r="3927" spans="12:13">
      <c r="L3927" s="69">
        <v>743241</v>
      </c>
      <c r="M3927" t="s">
        <v>2931</v>
      </c>
    </row>
    <row r="3928" spans="12:13">
      <c r="L3928" s="69">
        <v>743250</v>
      </c>
      <c r="M3928" t="s">
        <v>2932</v>
      </c>
    </row>
    <row r="3929" spans="12:13">
      <c r="L3929" s="69">
        <v>743251</v>
      </c>
      <c r="M3929" t="s">
        <v>2932</v>
      </c>
    </row>
    <row r="3930" spans="12:13">
      <c r="L3930" s="69">
        <v>743260</v>
      </c>
      <c r="M3930" t="s">
        <v>2933</v>
      </c>
    </row>
    <row r="3931" spans="12:13">
      <c r="L3931" s="69">
        <v>743261</v>
      </c>
      <c r="M3931" t="s">
        <v>2933</v>
      </c>
    </row>
    <row r="3932" spans="12:13">
      <c r="L3932" s="69">
        <v>743300</v>
      </c>
      <c r="M3932" t="s">
        <v>2934</v>
      </c>
    </row>
    <row r="3933" spans="12:13">
      <c r="L3933" s="69">
        <v>743320</v>
      </c>
      <c r="M3933" t="s">
        <v>2935</v>
      </c>
    </row>
    <row r="3934" spans="12:13">
      <c r="L3934" s="69">
        <v>743321</v>
      </c>
      <c r="M3934" t="s">
        <v>2934</v>
      </c>
    </row>
    <row r="3935" spans="12:13">
      <c r="L3935" s="69">
        <v>743322</v>
      </c>
      <c r="M3935" t="s">
        <v>2936</v>
      </c>
    </row>
    <row r="3936" spans="12:13">
      <c r="L3936" s="69">
        <v>743323</v>
      </c>
      <c r="M3936" t="s">
        <v>2937</v>
      </c>
    </row>
    <row r="3937" spans="12:13">
      <c r="L3937" s="69">
        <v>743324</v>
      </c>
      <c r="M3937" t="s">
        <v>2939</v>
      </c>
    </row>
    <row r="3938" spans="12:13">
      <c r="L3938" s="69">
        <v>743325</v>
      </c>
      <c r="M3938" t="s">
        <v>2940</v>
      </c>
    </row>
    <row r="3939" spans="12:13">
      <c r="L3939" s="69">
        <v>743326</v>
      </c>
      <c r="M3939" t="s">
        <v>2941</v>
      </c>
    </row>
    <row r="3940" spans="12:13">
      <c r="L3940" s="69">
        <v>743327</v>
      </c>
      <c r="M3940" t="s">
        <v>2942</v>
      </c>
    </row>
    <row r="3941" spans="12:13">
      <c r="L3941" s="69">
        <v>743328</v>
      </c>
      <c r="M3941" t="s">
        <v>2943</v>
      </c>
    </row>
    <row r="3942" spans="12:13">
      <c r="L3942" s="69">
        <v>743329</v>
      </c>
      <c r="M3942" t="s">
        <v>2944</v>
      </c>
    </row>
    <row r="3943" spans="12:13">
      <c r="L3943" s="69">
        <v>743330</v>
      </c>
      <c r="M3943" t="s">
        <v>2945</v>
      </c>
    </row>
    <row r="3944" spans="12:13">
      <c r="L3944" s="69">
        <v>743331</v>
      </c>
      <c r="M3944" t="s">
        <v>2946</v>
      </c>
    </row>
    <row r="3945" spans="12:13">
      <c r="L3945" s="69">
        <v>743332</v>
      </c>
      <c r="M3945" t="s">
        <v>2947</v>
      </c>
    </row>
    <row r="3946" spans="12:13">
      <c r="L3946" s="69">
        <v>743340</v>
      </c>
      <c r="M3946" t="s">
        <v>2948</v>
      </c>
    </row>
    <row r="3947" spans="12:13">
      <c r="L3947" s="69">
        <v>743341</v>
      </c>
      <c r="M3947" t="s">
        <v>2949</v>
      </c>
    </row>
    <row r="3948" spans="12:13">
      <c r="L3948" s="69">
        <v>743342</v>
      </c>
      <c r="M3948" t="s">
        <v>2950</v>
      </c>
    </row>
    <row r="3949" spans="12:13">
      <c r="L3949" s="69">
        <v>743343</v>
      </c>
      <c r="M3949" t="s">
        <v>2951</v>
      </c>
    </row>
    <row r="3950" spans="12:13">
      <c r="L3950" s="69">
        <v>743350</v>
      </c>
      <c r="M3950" t="s">
        <v>2952</v>
      </c>
    </row>
    <row r="3951" spans="12:13">
      <c r="L3951" s="69">
        <v>743351</v>
      </c>
      <c r="M3951" t="s">
        <v>2953</v>
      </c>
    </row>
    <row r="3952" spans="12:13">
      <c r="L3952" s="69">
        <v>743353</v>
      </c>
      <c r="M3952" t="s">
        <v>2954</v>
      </c>
    </row>
    <row r="3953" spans="12:13">
      <c r="L3953" s="69">
        <v>743354</v>
      </c>
      <c r="M3953" t="s">
        <v>2955</v>
      </c>
    </row>
    <row r="3954" spans="12:13">
      <c r="L3954" s="69">
        <v>743360</v>
      </c>
      <c r="M3954" t="s">
        <v>2956</v>
      </c>
    </row>
    <row r="3955" spans="12:13">
      <c r="L3955" s="69">
        <v>743361</v>
      </c>
      <c r="M3955" t="s">
        <v>2956</v>
      </c>
    </row>
    <row r="3956" spans="12:13">
      <c r="L3956" s="69">
        <v>743400</v>
      </c>
      <c r="M3956" t="s">
        <v>2957</v>
      </c>
    </row>
    <row r="3957" spans="12:13">
      <c r="L3957" s="69">
        <v>743420</v>
      </c>
      <c r="M3957" t="s">
        <v>2958</v>
      </c>
    </row>
    <row r="3958" spans="12:13">
      <c r="L3958" s="69">
        <v>743421</v>
      </c>
      <c r="M3958" t="s">
        <v>2958</v>
      </c>
    </row>
    <row r="3959" spans="12:13">
      <c r="L3959" s="69">
        <v>743422</v>
      </c>
      <c r="M3959" t="s">
        <v>2959</v>
      </c>
    </row>
    <row r="3960" spans="12:13">
      <c r="L3960" s="69">
        <v>743423</v>
      </c>
      <c r="M3960" t="s">
        <v>2960</v>
      </c>
    </row>
    <row r="3961" spans="12:13">
      <c r="L3961" s="69">
        <v>743430</v>
      </c>
      <c r="M3961" t="s">
        <v>2961</v>
      </c>
    </row>
    <row r="3962" spans="12:13">
      <c r="L3962" s="69">
        <v>743431</v>
      </c>
      <c r="M3962" t="s">
        <v>2961</v>
      </c>
    </row>
    <row r="3963" spans="12:13">
      <c r="L3963" s="69">
        <v>743440</v>
      </c>
      <c r="M3963" t="s">
        <v>2962</v>
      </c>
    </row>
    <row r="3964" spans="12:13">
      <c r="L3964" s="69">
        <v>743441</v>
      </c>
      <c r="M3964" t="s">
        <v>2962</v>
      </c>
    </row>
    <row r="3965" spans="12:13">
      <c r="L3965" s="69">
        <v>743450</v>
      </c>
      <c r="M3965" t="s">
        <v>2963</v>
      </c>
    </row>
    <row r="3966" spans="12:13">
      <c r="L3966" s="69">
        <v>743451</v>
      </c>
      <c r="M3966" t="s">
        <v>2963</v>
      </c>
    </row>
    <row r="3967" spans="12:13">
      <c r="L3967" s="69">
        <v>743460</v>
      </c>
      <c r="M3967" t="s">
        <v>2964</v>
      </c>
    </row>
    <row r="3968" spans="12:13">
      <c r="L3968" s="69">
        <v>743461</v>
      </c>
      <c r="M3968" t="s">
        <v>2964</v>
      </c>
    </row>
    <row r="3969" spans="12:13">
      <c r="L3969" s="69">
        <v>743500</v>
      </c>
      <c r="M3969" t="s">
        <v>2965</v>
      </c>
    </row>
    <row r="3970" spans="12:13">
      <c r="L3970" s="69">
        <v>743520</v>
      </c>
      <c r="M3970" t="s">
        <v>2966</v>
      </c>
    </row>
    <row r="3971" spans="12:13">
      <c r="L3971" s="69">
        <v>743521</v>
      </c>
      <c r="M3971" t="s">
        <v>2967</v>
      </c>
    </row>
    <row r="3972" spans="12:13">
      <c r="L3972" s="69">
        <v>743522</v>
      </c>
      <c r="M3972" t="s">
        <v>2968</v>
      </c>
    </row>
    <row r="3973" spans="12:13">
      <c r="L3973" s="69">
        <v>743523</v>
      </c>
      <c r="M3973" t="s">
        <v>2969</v>
      </c>
    </row>
    <row r="3974" spans="12:13">
      <c r="L3974" s="69">
        <v>743524</v>
      </c>
      <c r="M3974" t="s">
        <v>2970</v>
      </c>
    </row>
    <row r="3975" spans="12:13">
      <c r="L3975" s="69">
        <v>743525</v>
      </c>
      <c r="M3975" t="s">
        <v>2971</v>
      </c>
    </row>
    <row r="3976" spans="12:13">
      <c r="L3976" s="69">
        <v>743526</v>
      </c>
      <c r="M3976" t="s">
        <v>2972</v>
      </c>
    </row>
    <row r="3977" spans="12:13">
      <c r="L3977" s="69">
        <v>743530</v>
      </c>
      <c r="M3977" t="s">
        <v>2973</v>
      </c>
    </row>
    <row r="3978" spans="12:13">
      <c r="L3978" s="69">
        <v>743531</v>
      </c>
      <c r="M3978" t="s">
        <v>2973</v>
      </c>
    </row>
    <row r="3979" spans="12:13">
      <c r="L3979" s="69">
        <v>743540</v>
      </c>
      <c r="M3979" t="s">
        <v>2974</v>
      </c>
    </row>
    <row r="3980" spans="12:13">
      <c r="L3980" s="69">
        <v>743541</v>
      </c>
      <c r="M3980" t="s">
        <v>2974</v>
      </c>
    </row>
    <row r="3981" spans="12:13">
      <c r="L3981" s="69">
        <v>743550</v>
      </c>
      <c r="M3981" t="s">
        <v>2975</v>
      </c>
    </row>
    <row r="3982" spans="12:13">
      <c r="L3982" s="69">
        <v>743551</v>
      </c>
      <c r="M3982" t="s">
        <v>2975</v>
      </c>
    </row>
    <row r="3983" spans="12:13">
      <c r="L3983" s="69">
        <v>743560</v>
      </c>
      <c r="M3983" t="s">
        <v>2976</v>
      </c>
    </row>
    <row r="3984" spans="12:13">
      <c r="L3984" s="69">
        <v>743561</v>
      </c>
      <c r="M3984" t="s">
        <v>2976</v>
      </c>
    </row>
    <row r="3985" spans="12:13">
      <c r="L3985" s="69">
        <v>743900</v>
      </c>
      <c r="M3985" t="s">
        <v>2977</v>
      </c>
    </row>
    <row r="3986" spans="12:13">
      <c r="L3986" s="69">
        <v>743920</v>
      </c>
      <c r="M3986" t="s">
        <v>2978</v>
      </c>
    </row>
    <row r="3987" spans="12:13">
      <c r="L3987" s="69">
        <v>743921</v>
      </c>
      <c r="M3987" t="s">
        <v>2979</v>
      </c>
    </row>
    <row r="3988" spans="12:13">
      <c r="L3988" s="69">
        <v>743922</v>
      </c>
      <c r="M3988" t="s">
        <v>2980</v>
      </c>
    </row>
    <row r="3989" spans="12:13">
      <c r="L3989" s="69">
        <v>743923</v>
      </c>
      <c r="M3989" t="s">
        <v>2981</v>
      </c>
    </row>
    <row r="3990" spans="12:13">
      <c r="L3990" s="69">
        <v>743929</v>
      </c>
      <c r="M3990" t="s">
        <v>2978</v>
      </c>
    </row>
    <row r="3991" spans="12:13">
      <c r="L3991" s="69">
        <v>743930</v>
      </c>
      <c r="M3991" t="s">
        <v>2982</v>
      </c>
    </row>
    <row r="3992" spans="12:13">
      <c r="L3992" s="69">
        <v>743931</v>
      </c>
      <c r="M3992" t="s">
        <v>2982</v>
      </c>
    </row>
    <row r="3993" spans="12:13">
      <c r="L3993" s="69">
        <v>743940</v>
      </c>
      <c r="M3993" t="s">
        <v>2983</v>
      </c>
    </row>
    <row r="3994" spans="12:13">
      <c r="L3994" s="69">
        <v>743941</v>
      </c>
      <c r="M3994" t="s">
        <v>2983</v>
      </c>
    </row>
    <row r="3995" spans="12:13">
      <c r="L3995" s="69">
        <v>743950</v>
      </c>
      <c r="M3995" t="s">
        <v>2984</v>
      </c>
    </row>
    <row r="3996" spans="12:13">
      <c r="L3996" s="69">
        <v>743951</v>
      </c>
      <c r="M3996" t="s">
        <v>2985</v>
      </c>
    </row>
    <row r="3997" spans="12:13">
      <c r="L3997" s="69">
        <v>743960</v>
      </c>
      <c r="M3997" t="s">
        <v>2986</v>
      </c>
    </row>
    <row r="3998" spans="12:13">
      <c r="L3998" s="69">
        <v>743961</v>
      </c>
      <c r="M3998" t="s">
        <v>2986</v>
      </c>
    </row>
    <row r="3999" spans="12:13">
      <c r="L3999" s="69">
        <v>744000</v>
      </c>
      <c r="M3999" t="s">
        <v>2988</v>
      </c>
    </row>
    <row r="4000" spans="12:13">
      <c r="L4000" s="69">
        <v>744100</v>
      </c>
      <c r="M4000" t="s">
        <v>2989</v>
      </c>
    </row>
    <row r="4001" spans="12:13">
      <c r="L4001" s="69">
        <v>744120</v>
      </c>
      <c r="M4001" t="s">
        <v>2990</v>
      </c>
    </row>
    <row r="4002" spans="12:13">
      <c r="L4002" s="69">
        <v>744121</v>
      </c>
      <c r="M4002" t="s">
        <v>2990</v>
      </c>
    </row>
    <row r="4003" spans="12:13">
      <c r="L4003" s="69">
        <v>744122</v>
      </c>
      <c r="M4003" t="s">
        <v>2991</v>
      </c>
    </row>
    <row r="4004" spans="12:13">
      <c r="L4004" s="69">
        <v>744130</v>
      </c>
      <c r="M4004" t="s">
        <v>2992</v>
      </c>
    </row>
    <row r="4005" spans="12:13">
      <c r="L4005" s="69">
        <v>744131</v>
      </c>
      <c r="M4005" t="s">
        <v>2993</v>
      </c>
    </row>
    <row r="4006" spans="12:13">
      <c r="L4006" s="69">
        <v>744132</v>
      </c>
      <c r="M4006" t="s">
        <v>2994</v>
      </c>
    </row>
    <row r="4007" spans="12:13">
      <c r="L4007" s="69">
        <v>744140</v>
      </c>
      <c r="M4007" t="s">
        <v>2995</v>
      </c>
    </row>
    <row r="4008" spans="12:13">
      <c r="L4008" s="69">
        <v>744141</v>
      </c>
      <c r="M4008" t="s">
        <v>2995</v>
      </c>
    </row>
    <row r="4009" spans="12:13">
      <c r="L4009" s="69">
        <v>744142</v>
      </c>
      <c r="M4009" t="s">
        <v>2997</v>
      </c>
    </row>
    <row r="4010" spans="12:13">
      <c r="L4010" s="69">
        <v>744150</v>
      </c>
      <c r="M4010" t="s">
        <v>2998</v>
      </c>
    </row>
    <row r="4011" spans="12:13">
      <c r="L4011" s="69">
        <v>744151</v>
      </c>
      <c r="M4011" t="s">
        <v>2998</v>
      </c>
    </row>
    <row r="4012" spans="12:13">
      <c r="L4012" s="69">
        <v>744160</v>
      </c>
      <c r="M4012" t="s">
        <v>2999</v>
      </c>
    </row>
    <row r="4013" spans="12:13">
      <c r="L4013" s="69">
        <v>744161</v>
      </c>
      <c r="M4013" t="s">
        <v>3000</v>
      </c>
    </row>
    <row r="4014" spans="12:13">
      <c r="L4014" s="69">
        <v>744162</v>
      </c>
      <c r="M4014" t="s">
        <v>3001</v>
      </c>
    </row>
    <row r="4015" spans="12:13">
      <c r="L4015" s="69">
        <v>744165</v>
      </c>
      <c r="M4015" t="s">
        <v>3002</v>
      </c>
    </row>
    <row r="4016" spans="12:13">
      <c r="L4016" s="69">
        <v>744200</v>
      </c>
      <c r="M4016" t="s">
        <v>3003</v>
      </c>
    </row>
    <row r="4017" spans="12:13">
      <c r="L4017" s="69">
        <v>744220</v>
      </c>
      <c r="M4017" t="s">
        <v>3004</v>
      </c>
    </row>
    <row r="4018" spans="12:13">
      <c r="L4018" s="69">
        <v>744221</v>
      </c>
      <c r="M4018" t="s">
        <v>3004</v>
      </c>
    </row>
    <row r="4019" spans="12:13">
      <c r="L4019" s="69">
        <v>744230</v>
      </c>
      <c r="M4019" t="s">
        <v>3005</v>
      </c>
    </row>
    <row r="4020" spans="12:13">
      <c r="L4020" s="69">
        <v>744231</v>
      </c>
      <c r="M4020" t="s">
        <v>3006</v>
      </c>
    </row>
    <row r="4021" spans="12:13">
      <c r="L4021" s="69">
        <v>744232</v>
      </c>
      <c r="M4021" t="s">
        <v>3007</v>
      </c>
    </row>
    <row r="4022" spans="12:13">
      <c r="L4022" s="69">
        <v>744240</v>
      </c>
      <c r="M4022" t="s">
        <v>3008</v>
      </c>
    </row>
    <row r="4023" spans="12:13">
      <c r="L4023" s="69">
        <v>744241</v>
      </c>
      <c r="M4023" t="s">
        <v>3008</v>
      </c>
    </row>
    <row r="4024" spans="12:13">
      <c r="L4024" s="69">
        <v>744250</v>
      </c>
      <c r="M4024" t="s">
        <v>3009</v>
      </c>
    </row>
    <row r="4025" spans="12:13">
      <c r="L4025" s="69">
        <v>744251</v>
      </c>
      <c r="M4025" t="s">
        <v>3009</v>
      </c>
    </row>
    <row r="4026" spans="12:13">
      <c r="L4026" s="69">
        <v>744260</v>
      </c>
      <c r="M4026" t="s">
        <v>3010</v>
      </c>
    </row>
    <row r="4027" spans="12:13">
      <c r="L4027" s="69">
        <v>744261</v>
      </c>
      <c r="M4027" t="s">
        <v>3011</v>
      </c>
    </row>
    <row r="4028" spans="12:13">
      <c r="L4028" s="69">
        <v>744262</v>
      </c>
      <c r="M4028" t="s">
        <v>3012</v>
      </c>
    </row>
    <row r="4029" spans="12:13">
      <c r="L4029" s="69">
        <v>744265</v>
      </c>
      <c r="M4029" t="s">
        <v>3013</v>
      </c>
    </row>
    <row r="4030" spans="12:13">
      <c r="L4030" s="69">
        <v>745000</v>
      </c>
      <c r="M4030" t="s">
        <v>3015</v>
      </c>
    </row>
    <row r="4031" spans="12:13">
      <c r="L4031" s="69">
        <v>745100</v>
      </c>
      <c r="M4031" t="s">
        <v>3015</v>
      </c>
    </row>
    <row r="4032" spans="12:13">
      <c r="L4032" s="69">
        <v>745120</v>
      </c>
      <c r="M4032" t="s">
        <v>3016</v>
      </c>
    </row>
    <row r="4033" spans="12:13">
      <c r="L4033" s="69">
        <v>745121</v>
      </c>
      <c r="M4033" t="s">
        <v>3017</v>
      </c>
    </row>
    <row r="4034" spans="12:13">
      <c r="L4034" s="69">
        <v>745122</v>
      </c>
      <c r="M4034" t="s">
        <v>3018</v>
      </c>
    </row>
    <row r="4035" spans="12:13">
      <c r="L4035" s="69">
        <v>745123</v>
      </c>
      <c r="M4035" t="s">
        <v>3019</v>
      </c>
    </row>
    <row r="4036" spans="12:13">
      <c r="L4036" s="69">
        <v>745124</v>
      </c>
      <c r="M4036" t="s">
        <v>3020</v>
      </c>
    </row>
    <row r="4037" spans="12:13">
      <c r="L4037" s="69">
        <v>745125</v>
      </c>
      <c r="M4037" t="s">
        <v>3021</v>
      </c>
    </row>
    <row r="4038" spans="12:13">
      <c r="L4038" s="69">
        <v>745126</v>
      </c>
      <c r="M4038" t="s">
        <v>3022</v>
      </c>
    </row>
    <row r="4039" spans="12:13">
      <c r="L4039" s="69">
        <v>745127</v>
      </c>
      <c r="M4039" t="s">
        <v>3023</v>
      </c>
    </row>
    <row r="4040" spans="12:13">
      <c r="L4040" s="69">
        <v>745128</v>
      </c>
      <c r="M4040" t="s">
        <v>3024</v>
      </c>
    </row>
    <row r="4041" spans="12:13">
      <c r="L4041" s="69">
        <v>745130</v>
      </c>
      <c r="M4041" t="s">
        <v>3025</v>
      </c>
    </row>
    <row r="4042" spans="12:13">
      <c r="L4042" s="69">
        <v>745131</v>
      </c>
      <c r="M4042" t="s">
        <v>3026</v>
      </c>
    </row>
    <row r="4043" spans="12:13">
      <c r="L4043" s="69">
        <v>745132</v>
      </c>
      <c r="M4043" t="s">
        <v>3027</v>
      </c>
    </row>
    <row r="4044" spans="12:13">
      <c r="L4044" s="69">
        <v>745133</v>
      </c>
      <c r="M4044" t="s">
        <v>3028</v>
      </c>
    </row>
    <row r="4045" spans="12:13">
      <c r="L4045" s="69">
        <v>745134</v>
      </c>
      <c r="M4045" t="s">
        <v>3029</v>
      </c>
    </row>
    <row r="4046" spans="12:13">
      <c r="L4046" s="69">
        <v>745135</v>
      </c>
      <c r="M4046" t="s">
        <v>3030</v>
      </c>
    </row>
    <row r="4047" spans="12:13">
      <c r="L4047" s="69">
        <v>745136</v>
      </c>
      <c r="M4047" t="s">
        <v>3031</v>
      </c>
    </row>
    <row r="4048" spans="12:13">
      <c r="L4048" s="69">
        <v>745137</v>
      </c>
      <c r="M4048" t="s">
        <v>3032</v>
      </c>
    </row>
    <row r="4049" spans="12:13">
      <c r="L4049" s="69">
        <v>745138</v>
      </c>
      <c r="M4049" t="s">
        <v>3033</v>
      </c>
    </row>
    <row r="4050" spans="12:13">
      <c r="L4050" s="69">
        <v>745139</v>
      </c>
      <c r="M4050" t="s">
        <v>3034</v>
      </c>
    </row>
    <row r="4051" spans="12:13">
      <c r="L4051" s="69">
        <v>745140</v>
      </c>
      <c r="M4051" t="s">
        <v>3035</v>
      </c>
    </row>
    <row r="4052" spans="12:13">
      <c r="L4052" s="69">
        <v>745141</v>
      </c>
      <c r="M4052" t="s">
        <v>3036</v>
      </c>
    </row>
    <row r="4053" spans="12:13">
      <c r="L4053" s="69">
        <v>745142</v>
      </c>
      <c r="M4053" t="s">
        <v>3038</v>
      </c>
    </row>
    <row r="4054" spans="12:13">
      <c r="L4054" s="69">
        <v>745143</v>
      </c>
      <c r="M4054" t="s">
        <v>3040</v>
      </c>
    </row>
    <row r="4055" spans="12:13">
      <c r="L4055" s="69">
        <v>745144</v>
      </c>
      <c r="M4055" t="s">
        <v>3041</v>
      </c>
    </row>
    <row r="4056" spans="12:13">
      <c r="L4056" s="69">
        <v>745145</v>
      </c>
      <c r="M4056" t="s">
        <v>3042</v>
      </c>
    </row>
    <row r="4057" spans="12:13">
      <c r="L4057" s="69">
        <v>745150</v>
      </c>
      <c r="M4057" t="s">
        <v>3043</v>
      </c>
    </row>
    <row r="4058" spans="12:13">
      <c r="L4058" s="69">
        <v>745151</v>
      </c>
      <c r="M4058" t="s">
        <v>3044</v>
      </c>
    </row>
    <row r="4059" spans="12:13">
      <c r="L4059" s="69">
        <v>745152</v>
      </c>
      <c r="M4059" t="s">
        <v>3045</v>
      </c>
    </row>
    <row r="4060" spans="12:13">
      <c r="L4060" s="69">
        <v>745153</v>
      </c>
      <c r="M4060" t="s">
        <v>3046</v>
      </c>
    </row>
    <row r="4061" spans="12:13">
      <c r="L4061" s="69">
        <v>745154</v>
      </c>
      <c r="M4061" t="s">
        <v>3047</v>
      </c>
    </row>
    <row r="4062" spans="12:13">
      <c r="L4062" s="69">
        <v>745155</v>
      </c>
      <c r="M4062" t="s">
        <v>3042</v>
      </c>
    </row>
    <row r="4063" spans="12:13">
      <c r="L4063" s="69">
        <v>745160</v>
      </c>
      <c r="M4063" t="s">
        <v>3048</v>
      </c>
    </row>
    <row r="4064" spans="12:13">
      <c r="L4064" s="69">
        <v>745161</v>
      </c>
      <c r="M4064" t="s">
        <v>3049</v>
      </c>
    </row>
    <row r="4065" spans="12:13">
      <c r="L4065" s="69">
        <v>745162</v>
      </c>
      <c r="M4065" t="s">
        <v>3050</v>
      </c>
    </row>
    <row r="4066" spans="12:13">
      <c r="L4066" s="69">
        <v>745165</v>
      </c>
      <c r="M4066" t="s">
        <v>3051</v>
      </c>
    </row>
    <row r="4067" spans="12:13">
      <c r="L4067" s="69">
        <v>745166</v>
      </c>
      <c r="M4067" t="s">
        <v>3052</v>
      </c>
    </row>
    <row r="4068" spans="12:13">
      <c r="L4068" s="69">
        <v>770000</v>
      </c>
      <c r="M4068" t="s">
        <v>3054</v>
      </c>
    </row>
    <row r="4069" spans="12:13">
      <c r="L4069" s="69">
        <v>771000</v>
      </c>
      <c r="M4069" t="s">
        <v>3054</v>
      </c>
    </row>
    <row r="4070" spans="12:13">
      <c r="L4070" s="69">
        <v>771100</v>
      </c>
      <c r="M4070" t="s">
        <v>3054</v>
      </c>
    </row>
    <row r="4071" spans="12:13">
      <c r="L4071" s="69">
        <v>771110</v>
      </c>
      <c r="M4071" t="s">
        <v>3054</v>
      </c>
    </row>
    <row r="4072" spans="12:13">
      <c r="L4072" s="69">
        <v>771111</v>
      </c>
      <c r="M4072" t="s">
        <v>3054</v>
      </c>
    </row>
    <row r="4073" spans="12:13">
      <c r="L4073" s="69">
        <v>772000</v>
      </c>
      <c r="M4073" t="s">
        <v>3056</v>
      </c>
    </row>
    <row r="4074" spans="12:13">
      <c r="L4074" s="69">
        <v>772100</v>
      </c>
      <c r="M4074" t="s">
        <v>3056</v>
      </c>
    </row>
    <row r="4075" spans="12:13">
      <c r="L4075" s="69">
        <v>772110</v>
      </c>
      <c r="M4075" t="s">
        <v>3056</v>
      </c>
    </row>
    <row r="4076" spans="12:13">
      <c r="L4076" s="69">
        <v>772111</v>
      </c>
      <c r="M4076" t="s">
        <v>3057</v>
      </c>
    </row>
    <row r="4077" spans="12:13">
      <c r="L4077" s="69">
        <v>772112</v>
      </c>
      <c r="M4077" t="s">
        <v>3058</v>
      </c>
    </row>
    <row r="4078" spans="12:13">
      <c r="L4078" s="69">
        <v>772113</v>
      </c>
      <c r="M4078" t="s">
        <v>3059</v>
      </c>
    </row>
    <row r="4079" spans="12:13">
      <c r="L4079" s="69">
        <v>772114</v>
      </c>
      <c r="M4079" t="s">
        <v>3060</v>
      </c>
    </row>
    <row r="4080" spans="12:13">
      <c r="L4080" s="69">
        <v>780000</v>
      </c>
      <c r="M4080" t="s">
        <v>3061</v>
      </c>
    </row>
    <row r="4081" spans="12:13">
      <c r="L4081" s="69">
        <v>781000</v>
      </c>
      <c r="M4081" t="s">
        <v>3061</v>
      </c>
    </row>
    <row r="4082" spans="12:13">
      <c r="L4082" s="69">
        <v>781100</v>
      </c>
      <c r="M4082" t="s">
        <v>3061</v>
      </c>
    </row>
    <row r="4083" spans="12:13">
      <c r="L4083" s="69">
        <v>781110</v>
      </c>
      <c r="M4083" t="s">
        <v>3061</v>
      </c>
    </row>
    <row r="4084" spans="12:13">
      <c r="L4084" s="69">
        <v>781111</v>
      </c>
      <c r="M4084" t="s">
        <v>3061</v>
      </c>
    </row>
    <row r="4085" spans="12:13">
      <c r="L4085" s="69">
        <v>781112</v>
      </c>
      <c r="M4085" t="s">
        <v>3062</v>
      </c>
    </row>
    <row r="4086" spans="12:13">
      <c r="L4086" s="69">
        <v>781300</v>
      </c>
      <c r="M4086" t="s">
        <v>3063</v>
      </c>
    </row>
    <row r="4087" spans="12:13">
      <c r="L4087" s="69">
        <v>781310</v>
      </c>
      <c r="M4087" t="s">
        <v>3064</v>
      </c>
    </row>
    <row r="4088" spans="12:13">
      <c r="L4088" s="69">
        <v>781311</v>
      </c>
      <c r="M4088" t="s">
        <v>3065</v>
      </c>
    </row>
    <row r="4089" spans="12:13">
      <c r="L4089" s="69">
        <v>781312</v>
      </c>
      <c r="M4089" t="s">
        <v>3066</v>
      </c>
    </row>
    <row r="4090" spans="12:13">
      <c r="L4090" s="69">
        <v>781313</v>
      </c>
      <c r="M4090" t="s">
        <v>3067</v>
      </c>
    </row>
    <row r="4091" spans="12:13">
      <c r="L4091" s="69">
        <v>781314</v>
      </c>
      <c r="M4091" t="s">
        <v>3068</v>
      </c>
    </row>
    <row r="4092" spans="12:13">
      <c r="L4092" s="69">
        <v>781315</v>
      </c>
      <c r="M4092" t="s">
        <v>3069</v>
      </c>
    </row>
    <row r="4093" spans="12:13">
      <c r="L4093" s="69">
        <v>781316</v>
      </c>
      <c r="M4093" t="s">
        <v>3070</v>
      </c>
    </row>
    <row r="4094" spans="12:13">
      <c r="L4094" s="69">
        <v>781317</v>
      </c>
      <c r="M4094" t="s">
        <v>3071</v>
      </c>
    </row>
    <row r="4095" spans="12:13">
      <c r="L4095" s="69">
        <v>781318</v>
      </c>
      <c r="M4095" t="s">
        <v>3072</v>
      </c>
    </row>
    <row r="4096" spans="12:13">
      <c r="L4096" s="69">
        <v>781320</v>
      </c>
      <c r="M4096" t="s">
        <v>3073</v>
      </c>
    </row>
    <row r="4097" spans="12:13">
      <c r="L4097" s="69">
        <v>781321</v>
      </c>
      <c r="M4097" t="s">
        <v>3074</v>
      </c>
    </row>
    <row r="4098" spans="12:13">
      <c r="L4098" s="69">
        <v>781322</v>
      </c>
      <c r="M4098" t="s">
        <v>3075</v>
      </c>
    </row>
    <row r="4099" spans="12:13">
      <c r="L4099" s="69">
        <v>781323</v>
      </c>
      <c r="M4099" t="s">
        <v>3076</v>
      </c>
    </row>
    <row r="4100" spans="12:13">
      <c r="L4100" s="69">
        <v>781324</v>
      </c>
      <c r="M4100" t="s">
        <v>3077</v>
      </c>
    </row>
    <row r="4101" spans="12:13">
      <c r="L4101" s="69">
        <v>781330</v>
      </c>
      <c r="M4101" t="s">
        <v>3078</v>
      </c>
    </row>
    <row r="4102" spans="12:13">
      <c r="L4102" s="69">
        <v>781331</v>
      </c>
      <c r="M4102" t="s">
        <v>3079</v>
      </c>
    </row>
    <row r="4103" spans="12:13">
      <c r="L4103" s="69">
        <v>781340</v>
      </c>
      <c r="M4103" t="s">
        <v>3080</v>
      </c>
    </row>
    <row r="4104" spans="12:13">
      <c r="L4104" s="69">
        <v>781341</v>
      </c>
      <c r="M4104" t="s">
        <v>3081</v>
      </c>
    </row>
    <row r="4105" spans="12:13">
      <c r="L4105" s="69">
        <v>781342</v>
      </c>
      <c r="M4105" t="s">
        <v>3082</v>
      </c>
    </row>
    <row r="4106" spans="12:13">
      <c r="L4106" s="69">
        <v>781350</v>
      </c>
      <c r="M4106" t="s">
        <v>3083</v>
      </c>
    </row>
    <row r="4107" spans="12:13">
      <c r="L4107" s="69">
        <v>781351</v>
      </c>
      <c r="M4107" t="s">
        <v>3083</v>
      </c>
    </row>
    <row r="4108" spans="12:13">
      <c r="L4108" s="69">
        <v>781352</v>
      </c>
      <c r="M4108" t="s">
        <v>3084</v>
      </c>
    </row>
    <row r="4109" spans="12:13">
      <c r="L4109" s="69">
        <v>790000</v>
      </c>
      <c r="M4109" t="s">
        <v>3086</v>
      </c>
    </row>
    <row r="4110" spans="12:13">
      <c r="L4110" s="69">
        <v>791000</v>
      </c>
      <c r="M4110" t="s">
        <v>3086</v>
      </c>
    </row>
    <row r="4111" spans="12:13">
      <c r="L4111" s="69">
        <v>791100</v>
      </c>
      <c r="M4111" t="s">
        <v>3086</v>
      </c>
    </row>
    <row r="4112" spans="12:13">
      <c r="L4112" s="69">
        <v>791110</v>
      </c>
      <c r="M4112" t="s">
        <v>3086</v>
      </c>
    </row>
    <row r="4113" spans="12:13">
      <c r="L4113" s="69">
        <v>791111</v>
      </c>
      <c r="M4113" t="s">
        <v>3086</v>
      </c>
    </row>
    <row r="4114" spans="12:13">
      <c r="L4114" s="69">
        <v>800000</v>
      </c>
      <c r="M4114" t="s">
        <v>3089</v>
      </c>
    </row>
    <row r="4115" spans="12:13">
      <c r="L4115" s="69">
        <v>810000</v>
      </c>
      <c r="M4115" t="s">
        <v>3090</v>
      </c>
    </row>
    <row r="4116" spans="12:13">
      <c r="L4116" s="69">
        <v>811000</v>
      </c>
      <c r="M4116" t="s">
        <v>3091</v>
      </c>
    </row>
    <row r="4117" spans="12:13">
      <c r="L4117" s="69">
        <v>811100</v>
      </c>
      <c r="M4117" t="s">
        <v>3091</v>
      </c>
    </row>
    <row r="4118" spans="12:13">
      <c r="L4118" s="69">
        <v>811120</v>
      </c>
      <c r="M4118" t="s">
        <v>3092</v>
      </c>
    </row>
    <row r="4119" spans="12:13">
      <c r="L4119" s="69">
        <v>811121</v>
      </c>
      <c r="M4119" t="s">
        <v>3093</v>
      </c>
    </row>
    <row r="4120" spans="12:13">
      <c r="L4120" s="69">
        <v>811122</v>
      </c>
      <c r="M4120" t="s">
        <v>3094</v>
      </c>
    </row>
    <row r="4121" spans="12:13">
      <c r="L4121" s="69">
        <v>811123</v>
      </c>
      <c r="M4121" t="s">
        <v>3095</v>
      </c>
    </row>
    <row r="4122" spans="12:13">
      <c r="L4122" s="69">
        <v>811124</v>
      </c>
      <c r="M4122" t="s">
        <v>3096</v>
      </c>
    </row>
    <row r="4123" spans="12:13">
      <c r="L4123" s="69">
        <v>811125</v>
      </c>
      <c r="M4123" t="s">
        <v>3097</v>
      </c>
    </row>
    <row r="4124" spans="12:13">
      <c r="L4124" s="69">
        <v>811130</v>
      </c>
      <c r="M4124" t="s">
        <v>3098</v>
      </c>
    </row>
    <row r="4125" spans="12:13">
      <c r="L4125" s="69">
        <v>811131</v>
      </c>
      <c r="M4125" t="s">
        <v>3099</v>
      </c>
    </row>
    <row r="4126" spans="12:13">
      <c r="L4126" s="69">
        <v>811132</v>
      </c>
      <c r="M4126" t="s">
        <v>3100</v>
      </c>
    </row>
    <row r="4127" spans="12:13">
      <c r="L4127" s="69">
        <v>811133</v>
      </c>
      <c r="M4127" t="s">
        <v>3101</v>
      </c>
    </row>
    <row r="4128" spans="12:13">
      <c r="L4128" s="69">
        <v>811134</v>
      </c>
      <c r="M4128" t="s">
        <v>3102</v>
      </c>
    </row>
    <row r="4129" spans="12:13">
      <c r="L4129" s="69">
        <v>811135</v>
      </c>
      <c r="M4129" t="s">
        <v>3103</v>
      </c>
    </row>
    <row r="4130" spans="12:13">
      <c r="L4130" s="69">
        <v>811140</v>
      </c>
      <c r="M4130" t="s">
        <v>3104</v>
      </c>
    </row>
    <row r="4131" spans="12:13">
      <c r="L4131" s="69">
        <v>811141</v>
      </c>
      <c r="M4131" t="s">
        <v>3104</v>
      </c>
    </row>
    <row r="4132" spans="12:13">
      <c r="L4132" s="69">
        <v>811142</v>
      </c>
      <c r="M4132" t="s">
        <v>3105</v>
      </c>
    </row>
    <row r="4133" spans="12:13">
      <c r="L4133" s="69">
        <v>811143</v>
      </c>
      <c r="M4133" t="s">
        <v>3106</v>
      </c>
    </row>
    <row r="4134" spans="12:13">
      <c r="L4134" s="69">
        <v>811144</v>
      </c>
      <c r="M4134" t="s">
        <v>3107</v>
      </c>
    </row>
    <row r="4135" spans="12:13">
      <c r="L4135" s="69">
        <v>811150</v>
      </c>
      <c r="M4135" t="s">
        <v>3108</v>
      </c>
    </row>
    <row r="4136" spans="12:13">
      <c r="L4136" s="69">
        <v>811151</v>
      </c>
      <c r="M4136" t="s">
        <v>3108</v>
      </c>
    </row>
    <row r="4137" spans="12:13">
      <c r="L4137" s="69">
        <v>811152</v>
      </c>
      <c r="M4137" t="s">
        <v>3109</v>
      </c>
    </row>
    <row r="4138" spans="12:13">
      <c r="L4138" s="69">
        <v>811153</v>
      </c>
      <c r="M4138" t="s">
        <v>3110</v>
      </c>
    </row>
    <row r="4139" spans="12:13">
      <c r="L4139" s="69">
        <v>811154</v>
      </c>
      <c r="M4139" t="s">
        <v>3111</v>
      </c>
    </row>
    <row r="4140" spans="12:13">
      <c r="L4140" s="69">
        <v>811160</v>
      </c>
      <c r="M4140" t="s">
        <v>3112</v>
      </c>
    </row>
    <row r="4141" spans="12:13">
      <c r="L4141" s="69">
        <v>811161</v>
      </c>
      <c r="M4141" t="s">
        <v>3113</v>
      </c>
    </row>
    <row r="4142" spans="12:13">
      <c r="L4142" s="69">
        <v>811162</v>
      </c>
      <c r="M4142" t="s">
        <v>3114</v>
      </c>
    </row>
    <row r="4143" spans="12:13">
      <c r="L4143" s="69">
        <v>811165</v>
      </c>
      <c r="M4143" t="s">
        <v>3115</v>
      </c>
    </row>
    <row r="4144" spans="12:13">
      <c r="L4144" s="69">
        <v>811170</v>
      </c>
      <c r="M4144" t="s">
        <v>3116</v>
      </c>
    </row>
    <row r="4145" spans="12:13">
      <c r="L4145" s="69">
        <v>811171</v>
      </c>
      <c r="M4145" t="s">
        <v>3117</v>
      </c>
    </row>
    <row r="4146" spans="12:13">
      <c r="L4146" s="69">
        <v>811172</v>
      </c>
      <c r="M4146" t="s">
        <v>3118</v>
      </c>
    </row>
    <row r="4147" spans="12:13">
      <c r="L4147" s="69">
        <v>812000</v>
      </c>
      <c r="M4147" t="s">
        <v>3119</v>
      </c>
    </row>
    <row r="4148" spans="12:13">
      <c r="L4148" s="69">
        <v>812100</v>
      </c>
      <c r="M4148" t="s">
        <v>3119</v>
      </c>
    </row>
    <row r="4149" spans="12:13">
      <c r="L4149" s="69">
        <v>812120</v>
      </c>
      <c r="M4149" t="s">
        <v>3120</v>
      </c>
    </row>
    <row r="4150" spans="12:13">
      <c r="L4150" s="69">
        <v>812121</v>
      </c>
      <c r="M4150" t="s">
        <v>3120</v>
      </c>
    </row>
    <row r="4151" spans="12:13">
      <c r="L4151" s="69">
        <v>812130</v>
      </c>
      <c r="M4151" t="s">
        <v>3121</v>
      </c>
    </row>
    <row r="4152" spans="12:13">
      <c r="L4152" s="69">
        <v>812131</v>
      </c>
      <c r="M4152" t="s">
        <v>3122</v>
      </c>
    </row>
    <row r="4153" spans="12:13">
      <c r="L4153" s="69">
        <v>812132</v>
      </c>
      <c r="M4153" t="s">
        <v>3123</v>
      </c>
    </row>
    <row r="4154" spans="12:13">
      <c r="L4154" s="69">
        <v>812140</v>
      </c>
      <c r="M4154" t="s">
        <v>3124</v>
      </c>
    </row>
    <row r="4155" spans="12:13">
      <c r="L4155" s="69">
        <v>812141</v>
      </c>
      <c r="M4155" t="s">
        <v>3124</v>
      </c>
    </row>
    <row r="4156" spans="12:13">
      <c r="L4156" s="69">
        <v>812150</v>
      </c>
      <c r="M4156" t="s">
        <v>3125</v>
      </c>
    </row>
    <row r="4157" spans="12:13">
      <c r="L4157" s="69">
        <v>812151</v>
      </c>
      <c r="M4157" t="s">
        <v>3125</v>
      </c>
    </row>
    <row r="4158" spans="12:13">
      <c r="L4158" s="69">
        <v>812160</v>
      </c>
      <c r="M4158" t="s">
        <v>3126</v>
      </c>
    </row>
    <row r="4159" spans="12:13">
      <c r="L4159" s="69">
        <v>812161</v>
      </c>
      <c r="M4159" t="s">
        <v>3127</v>
      </c>
    </row>
    <row r="4160" spans="12:13">
      <c r="L4160" s="69">
        <v>812162</v>
      </c>
      <c r="M4160" t="s">
        <v>3128</v>
      </c>
    </row>
    <row r="4161" spans="12:13">
      <c r="L4161" s="69">
        <v>812165</v>
      </c>
      <c r="M4161" t="s">
        <v>3129</v>
      </c>
    </row>
    <row r="4162" spans="12:13">
      <c r="L4162" s="69">
        <v>813000</v>
      </c>
      <c r="M4162" t="s">
        <v>3130</v>
      </c>
    </row>
    <row r="4163" spans="12:13">
      <c r="L4163" s="69">
        <v>813100</v>
      </c>
      <c r="M4163" t="s">
        <v>3130</v>
      </c>
    </row>
    <row r="4164" spans="12:13">
      <c r="L4164" s="69">
        <v>813120</v>
      </c>
      <c r="M4164" t="s">
        <v>3131</v>
      </c>
    </row>
    <row r="4165" spans="12:13">
      <c r="L4165" s="69">
        <v>813121</v>
      </c>
      <c r="M4165" t="s">
        <v>3131</v>
      </c>
    </row>
    <row r="4166" spans="12:13">
      <c r="L4166" s="69">
        <v>813130</v>
      </c>
      <c r="M4166" t="s">
        <v>3132</v>
      </c>
    </row>
    <row r="4167" spans="12:13">
      <c r="L4167" s="69">
        <v>813131</v>
      </c>
      <c r="M4167" t="s">
        <v>3133</v>
      </c>
    </row>
    <row r="4168" spans="12:13">
      <c r="L4168" s="69">
        <v>813132</v>
      </c>
      <c r="M4168" t="s">
        <v>3134</v>
      </c>
    </row>
    <row r="4169" spans="12:13">
      <c r="L4169" s="69">
        <v>813140</v>
      </c>
      <c r="M4169" t="s">
        <v>3135</v>
      </c>
    </row>
    <row r="4170" spans="12:13">
      <c r="L4170" s="69">
        <v>813141</v>
      </c>
      <c r="M4170" t="s">
        <v>3135</v>
      </c>
    </row>
    <row r="4171" spans="12:13">
      <c r="L4171" s="69">
        <v>813150</v>
      </c>
      <c r="M4171" t="s">
        <v>3136</v>
      </c>
    </row>
    <row r="4172" spans="12:13">
      <c r="L4172" s="69">
        <v>813151</v>
      </c>
      <c r="M4172" t="s">
        <v>3136</v>
      </c>
    </row>
    <row r="4173" spans="12:13">
      <c r="L4173" s="69">
        <v>813160</v>
      </c>
      <c r="M4173" t="s">
        <v>3137</v>
      </c>
    </row>
    <row r="4174" spans="12:13">
      <c r="L4174" s="69">
        <v>813161</v>
      </c>
      <c r="M4174" t="s">
        <v>3138</v>
      </c>
    </row>
    <row r="4175" spans="12:13">
      <c r="L4175" s="69">
        <v>813162</v>
      </c>
      <c r="M4175" t="s">
        <v>3139</v>
      </c>
    </row>
    <row r="4176" spans="12:13">
      <c r="L4176" s="69">
        <v>813165</v>
      </c>
      <c r="M4176" t="s">
        <v>3140</v>
      </c>
    </row>
    <row r="4177" spans="12:13">
      <c r="L4177" s="69">
        <v>820000</v>
      </c>
      <c r="M4177" t="s">
        <v>3141</v>
      </c>
    </row>
    <row r="4178" spans="12:13">
      <c r="L4178" s="69">
        <v>821000</v>
      </c>
      <c r="M4178" t="s">
        <v>3142</v>
      </c>
    </row>
    <row r="4179" spans="12:13">
      <c r="L4179" s="69">
        <v>821100</v>
      </c>
      <c r="M4179" t="s">
        <v>3142</v>
      </c>
    </row>
    <row r="4180" spans="12:13">
      <c r="L4180" s="69">
        <v>821120</v>
      </c>
      <c r="M4180" t="s">
        <v>3143</v>
      </c>
    </row>
    <row r="4181" spans="12:13">
      <c r="L4181" s="69">
        <v>821121</v>
      </c>
      <c r="M4181" t="s">
        <v>3143</v>
      </c>
    </row>
    <row r="4182" spans="12:13">
      <c r="L4182" s="69">
        <v>821130</v>
      </c>
      <c r="M4182" t="s">
        <v>3144</v>
      </c>
    </row>
    <row r="4183" spans="12:13">
      <c r="L4183" s="69">
        <v>821131</v>
      </c>
      <c r="M4183" t="s">
        <v>3145</v>
      </c>
    </row>
    <row r="4184" spans="12:13">
      <c r="L4184" s="69">
        <v>821132</v>
      </c>
      <c r="M4184" t="s">
        <v>3146</v>
      </c>
    </row>
    <row r="4185" spans="12:13">
      <c r="L4185" s="69">
        <v>821140</v>
      </c>
      <c r="M4185" t="s">
        <v>3147</v>
      </c>
    </row>
    <row r="4186" spans="12:13">
      <c r="L4186" s="69">
        <v>821141</v>
      </c>
      <c r="M4186" t="s">
        <v>3147</v>
      </c>
    </row>
    <row r="4187" spans="12:13">
      <c r="L4187" s="69">
        <v>821150</v>
      </c>
      <c r="M4187" t="s">
        <v>3148</v>
      </c>
    </row>
    <row r="4188" spans="12:13">
      <c r="L4188" s="69">
        <v>821151</v>
      </c>
      <c r="M4188" t="s">
        <v>3148</v>
      </c>
    </row>
    <row r="4189" spans="12:13">
      <c r="L4189" s="69">
        <v>821160</v>
      </c>
      <c r="M4189" t="s">
        <v>3149</v>
      </c>
    </row>
    <row r="4190" spans="12:13">
      <c r="L4190" s="69">
        <v>821161</v>
      </c>
      <c r="M4190" t="s">
        <v>3150</v>
      </c>
    </row>
    <row r="4191" spans="12:13">
      <c r="L4191" s="69">
        <v>821162</v>
      </c>
      <c r="M4191" t="s">
        <v>3151</v>
      </c>
    </row>
    <row r="4192" spans="12:13">
      <c r="L4192" s="69">
        <v>821165</v>
      </c>
      <c r="M4192" t="s">
        <v>3152</v>
      </c>
    </row>
    <row r="4193" spans="12:13">
      <c r="L4193" s="69">
        <v>822000</v>
      </c>
      <c r="M4193" t="s">
        <v>3153</v>
      </c>
    </row>
    <row r="4194" spans="12:13">
      <c r="L4194" s="69">
        <v>822100</v>
      </c>
      <c r="M4194" t="s">
        <v>3153</v>
      </c>
    </row>
    <row r="4195" spans="12:13">
      <c r="L4195" s="69">
        <v>822120</v>
      </c>
      <c r="M4195" t="s">
        <v>3154</v>
      </c>
    </row>
    <row r="4196" spans="12:13">
      <c r="L4196" s="69">
        <v>822121</v>
      </c>
      <c r="M4196" t="s">
        <v>3154</v>
      </c>
    </row>
    <row r="4197" spans="12:13">
      <c r="L4197" s="69">
        <v>822130</v>
      </c>
      <c r="M4197" t="s">
        <v>3155</v>
      </c>
    </row>
    <row r="4198" spans="12:13">
      <c r="L4198" s="69">
        <v>822131</v>
      </c>
      <c r="M4198" t="s">
        <v>3156</v>
      </c>
    </row>
    <row r="4199" spans="12:13">
      <c r="L4199" s="69">
        <v>822132</v>
      </c>
      <c r="M4199" t="s">
        <v>3157</v>
      </c>
    </row>
    <row r="4200" spans="12:13">
      <c r="L4200" s="69">
        <v>822140</v>
      </c>
      <c r="M4200" t="s">
        <v>3158</v>
      </c>
    </row>
    <row r="4201" spans="12:13">
      <c r="L4201" s="69">
        <v>822141</v>
      </c>
      <c r="M4201" t="s">
        <v>3158</v>
      </c>
    </row>
    <row r="4202" spans="12:13">
      <c r="L4202" s="69">
        <v>822150</v>
      </c>
      <c r="M4202" t="s">
        <v>3159</v>
      </c>
    </row>
    <row r="4203" spans="12:13">
      <c r="L4203" s="69">
        <v>822151</v>
      </c>
      <c r="M4203" t="s">
        <v>3159</v>
      </c>
    </row>
    <row r="4204" spans="12:13">
      <c r="L4204" s="69">
        <v>822160</v>
      </c>
      <c r="M4204" t="s">
        <v>3160</v>
      </c>
    </row>
    <row r="4205" spans="12:13">
      <c r="L4205" s="69">
        <v>822161</v>
      </c>
      <c r="M4205" t="s">
        <v>3161</v>
      </c>
    </row>
    <row r="4206" spans="12:13">
      <c r="L4206" s="69">
        <v>822162</v>
      </c>
      <c r="M4206" t="s">
        <v>3162</v>
      </c>
    </row>
    <row r="4207" spans="12:13">
      <c r="L4207" s="69">
        <v>822165</v>
      </c>
      <c r="M4207" t="s">
        <v>3163</v>
      </c>
    </row>
    <row r="4208" spans="12:13">
      <c r="L4208" s="69">
        <v>823000</v>
      </c>
      <c r="M4208" t="s">
        <v>3164</v>
      </c>
    </row>
    <row r="4209" spans="12:13">
      <c r="L4209" s="69">
        <v>823100</v>
      </c>
      <c r="M4209" t="s">
        <v>3164</v>
      </c>
    </row>
    <row r="4210" spans="12:13">
      <c r="L4210" s="69">
        <v>823120</v>
      </c>
      <c r="M4210" t="s">
        <v>3165</v>
      </c>
    </row>
    <row r="4211" spans="12:13">
      <c r="L4211" s="69">
        <v>823121</v>
      </c>
      <c r="M4211" t="s">
        <v>3165</v>
      </c>
    </row>
    <row r="4212" spans="12:13">
      <c r="L4212" s="69">
        <v>823130</v>
      </c>
      <c r="M4212" t="s">
        <v>3166</v>
      </c>
    </row>
    <row r="4213" spans="12:13">
      <c r="L4213" s="69">
        <v>823131</v>
      </c>
      <c r="M4213" t="s">
        <v>3167</v>
      </c>
    </row>
    <row r="4214" spans="12:13">
      <c r="L4214" s="69">
        <v>823132</v>
      </c>
      <c r="M4214" t="s">
        <v>3168</v>
      </c>
    </row>
    <row r="4215" spans="12:13">
      <c r="L4215" s="69">
        <v>823140</v>
      </c>
      <c r="M4215" t="s">
        <v>3169</v>
      </c>
    </row>
    <row r="4216" spans="12:13">
      <c r="L4216" s="69">
        <v>823141</v>
      </c>
      <c r="M4216" t="s">
        <v>3169</v>
      </c>
    </row>
    <row r="4217" spans="12:13">
      <c r="L4217" s="69">
        <v>823150</v>
      </c>
      <c r="M4217" t="s">
        <v>3170</v>
      </c>
    </row>
    <row r="4218" spans="12:13">
      <c r="L4218" s="69">
        <v>823151</v>
      </c>
      <c r="M4218" t="s">
        <v>3170</v>
      </c>
    </row>
    <row r="4219" spans="12:13">
      <c r="L4219" s="69">
        <v>823160</v>
      </c>
      <c r="M4219" t="s">
        <v>3171</v>
      </c>
    </row>
    <row r="4220" spans="12:13">
      <c r="L4220" s="69">
        <v>823161</v>
      </c>
      <c r="M4220" t="s">
        <v>3172</v>
      </c>
    </row>
    <row r="4221" spans="12:13">
      <c r="L4221" s="69">
        <v>823162</v>
      </c>
      <c r="M4221" t="s">
        <v>3173</v>
      </c>
    </row>
    <row r="4222" spans="12:13">
      <c r="L4222" s="69">
        <v>823165</v>
      </c>
      <c r="M4222" t="s">
        <v>3174</v>
      </c>
    </row>
    <row r="4223" spans="12:13">
      <c r="L4223" s="69">
        <v>830000</v>
      </c>
      <c r="M4223" t="s">
        <v>3175</v>
      </c>
    </row>
    <row r="4224" spans="12:13">
      <c r="L4224" s="69">
        <v>831000</v>
      </c>
      <c r="M4224" t="s">
        <v>3175</v>
      </c>
    </row>
    <row r="4225" spans="12:13">
      <c r="L4225" s="69">
        <v>831100</v>
      </c>
      <c r="M4225" t="s">
        <v>3175</v>
      </c>
    </row>
    <row r="4226" spans="12:13">
      <c r="L4226" s="69">
        <v>831120</v>
      </c>
      <c r="M4226" t="s">
        <v>3176</v>
      </c>
    </row>
    <row r="4227" spans="12:13">
      <c r="L4227" s="69">
        <v>831121</v>
      </c>
      <c r="M4227" t="s">
        <v>3176</v>
      </c>
    </row>
    <row r="4228" spans="12:13">
      <c r="L4228" s="69">
        <v>831130</v>
      </c>
      <c r="M4228" t="s">
        <v>3177</v>
      </c>
    </row>
    <row r="4229" spans="12:13">
      <c r="L4229" s="69">
        <v>831131</v>
      </c>
      <c r="M4229" t="s">
        <v>3178</v>
      </c>
    </row>
    <row r="4230" spans="12:13">
      <c r="L4230" s="69">
        <v>831132</v>
      </c>
      <c r="M4230" t="s">
        <v>3179</v>
      </c>
    </row>
    <row r="4231" spans="12:13">
      <c r="L4231" s="69">
        <v>831140</v>
      </c>
      <c r="M4231" t="s">
        <v>3180</v>
      </c>
    </row>
    <row r="4232" spans="12:13">
      <c r="L4232" s="69">
        <v>831141</v>
      </c>
      <c r="M4232" t="s">
        <v>3180</v>
      </c>
    </row>
    <row r="4233" spans="12:13">
      <c r="L4233" s="69">
        <v>831150</v>
      </c>
      <c r="M4233" t="s">
        <v>3181</v>
      </c>
    </row>
    <row r="4234" spans="12:13">
      <c r="L4234" s="69">
        <v>831151</v>
      </c>
      <c r="M4234" t="s">
        <v>3181</v>
      </c>
    </row>
    <row r="4235" spans="12:13">
      <c r="L4235" s="69">
        <v>831160</v>
      </c>
      <c r="M4235" t="s">
        <v>3182</v>
      </c>
    </row>
    <row r="4236" spans="12:13">
      <c r="L4236" s="69">
        <v>831161</v>
      </c>
      <c r="M4236" t="s">
        <v>3183</v>
      </c>
    </row>
    <row r="4237" spans="12:13">
      <c r="L4237" s="69">
        <v>831162</v>
      </c>
      <c r="M4237" t="s">
        <v>3184</v>
      </c>
    </row>
    <row r="4238" spans="12:13">
      <c r="L4238" s="69">
        <v>831165</v>
      </c>
      <c r="M4238" t="s">
        <v>3185</v>
      </c>
    </row>
    <row r="4239" spans="12:13">
      <c r="L4239" s="69">
        <v>840000</v>
      </c>
      <c r="M4239" t="s">
        <v>3186</v>
      </c>
    </row>
    <row r="4240" spans="12:13">
      <c r="L4240" s="69">
        <v>841000</v>
      </c>
      <c r="M4240" t="s">
        <v>3187</v>
      </c>
    </row>
    <row r="4241" spans="12:13">
      <c r="L4241" s="69">
        <v>841100</v>
      </c>
      <c r="M4241" t="s">
        <v>3187</v>
      </c>
    </row>
    <row r="4242" spans="12:13">
      <c r="L4242" s="69">
        <v>841120</v>
      </c>
      <c r="M4242" t="s">
        <v>3188</v>
      </c>
    </row>
    <row r="4243" spans="12:13">
      <c r="L4243" s="69">
        <v>841121</v>
      </c>
      <c r="M4243" t="s">
        <v>3188</v>
      </c>
    </row>
    <row r="4244" spans="12:13">
      <c r="L4244" s="69">
        <v>841130</v>
      </c>
      <c r="M4244" t="s">
        <v>3189</v>
      </c>
    </row>
    <row r="4245" spans="12:13">
      <c r="L4245" s="69">
        <v>841131</v>
      </c>
      <c r="M4245" t="s">
        <v>3189</v>
      </c>
    </row>
    <row r="4246" spans="12:13">
      <c r="L4246" s="69">
        <v>841140</v>
      </c>
      <c r="M4246" t="s">
        <v>3190</v>
      </c>
    </row>
    <row r="4247" spans="12:13">
      <c r="L4247" s="69">
        <v>841141</v>
      </c>
      <c r="M4247" t="s">
        <v>3190</v>
      </c>
    </row>
    <row r="4248" spans="12:13">
      <c r="L4248" s="69">
        <v>841150</v>
      </c>
      <c r="M4248" t="s">
        <v>3191</v>
      </c>
    </row>
    <row r="4249" spans="12:13">
      <c r="L4249" s="69">
        <v>841151</v>
      </c>
      <c r="M4249" t="s">
        <v>3191</v>
      </c>
    </row>
    <row r="4250" spans="12:13">
      <c r="L4250" s="69">
        <v>841160</v>
      </c>
      <c r="M4250" t="s">
        <v>3192</v>
      </c>
    </row>
    <row r="4251" spans="12:13">
      <c r="L4251" s="69">
        <v>841161</v>
      </c>
      <c r="M4251" t="s">
        <v>3193</v>
      </c>
    </row>
    <row r="4252" spans="12:13">
      <c r="L4252" s="69">
        <v>841162</v>
      </c>
      <c r="M4252" t="s">
        <v>3194</v>
      </c>
    </row>
    <row r="4253" spans="12:13">
      <c r="L4253" s="69">
        <v>841165</v>
      </c>
      <c r="M4253" t="s">
        <v>3195</v>
      </c>
    </row>
    <row r="4254" spans="12:13">
      <c r="L4254" s="69">
        <v>842000</v>
      </c>
      <c r="M4254" t="s">
        <v>3196</v>
      </c>
    </row>
    <row r="4255" spans="12:13">
      <c r="L4255" s="69">
        <v>842100</v>
      </c>
      <c r="M4255" t="s">
        <v>3196</v>
      </c>
    </row>
    <row r="4256" spans="12:13">
      <c r="L4256" s="69">
        <v>842120</v>
      </c>
      <c r="M4256" t="s">
        <v>3197</v>
      </c>
    </row>
    <row r="4257" spans="12:13">
      <c r="L4257" s="69">
        <v>842121</v>
      </c>
      <c r="M4257" t="s">
        <v>3197</v>
      </c>
    </row>
    <row r="4258" spans="12:13">
      <c r="L4258" s="69">
        <v>842130</v>
      </c>
      <c r="M4258" t="s">
        <v>3198</v>
      </c>
    </row>
    <row r="4259" spans="12:13">
      <c r="L4259" s="69">
        <v>842131</v>
      </c>
      <c r="M4259" t="s">
        <v>3198</v>
      </c>
    </row>
    <row r="4260" spans="12:13">
      <c r="L4260" s="69">
        <v>842140</v>
      </c>
      <c r="M4260" t="s">
        <v>3199</v>
      </c>
    </row>
    <row r="4261" spans="12:13">
      <c r="L4261" s="69">
        <v>842141</v>
      </c>
      <c r="M4261" t="s">
        <v>3199</v>
      </c>
    </row>
    <row r="4262" spans="12:13">
      <c r="L4262" s="69">
        <v>842150</v>
      </c>
      <c r="M4262" t="s">
        <v>3200</v>
      </c>
    </row>
    <row r="4263" spans="12:13">
      <c r="L4263" s="69">
        <v>842151</v>
      </c>
      <c r="M4263" t="s">
        <v>3200</v>
      </c>
    </row>
    <row r="4264" spans="12:13">
      <c r="L4264" s="69">
        <v>842160</v>
      </c>
      <c r="M4264" t="s">
        <v>3201</v>
      </c>
    </row>
    <row r="4265" spans="12:13">
      <c r="L4265" s="69">
        <v>842161</v>
      </c>
      <c r="M4265" t="s">
        <v>3202</v>
      </c>
    </row>
    <row r="4266" spans="12:13">
      <c r="L4266" s="69">
        <v>842162</v>
      </c>
      <c r="M4266" t="s">
        <v>3203</v>
      </c>
    </row>
    <row r="4267" spans="12:13">
      <c r="L4267" s="69">
        <v>842165</v>
      </c>
      <c r="M4267" t="s">
        <v>3204</v>
      </c>
    </row>
    <row r="4268" spans="12:13">
      <c r="L4268" s="69">
        <v>843000</v>
      </c>
      <c r="M4268" t="s">
        <v>3205</v>
      </c>
    </row>
    <row r="4269" spans="12:13">
      <c r="L4269" s="69">
        <v>843100</v>
      </c>
      <c r="M4269" t="s">
        <v>3205</v>
      </c>
    </row>
    <row r="4270" spans="12:13">
      <c r="L4270" s="69">
        <v>843120</v>
      </c>
      <c r="M4270" t="s">
        <v>3206</v>
      </c>
    </row>
    <row r="4271" spans="12:13">
      <c r="L4271" s="69">
        <v>843121</v>
      </c>
      <c r="M4271" t="s">
        <v>3206</v>
      </c>
    </row>
    <row r="4272" spans="12:13">
      <c r="L4272" s="69">
        <v>843130</v>
      </c>
      <c r="M4272" t="s">
        <v>3207</v>
      </c>
    </row>
    <row r="4273" spans="12:13">
      <c r="L4273" s="69">
        <v>843131</v>
      </c>
      <c r="M4273" t="s">
        <v>3207</v>
      </c>
    </row>
    <row r="4274" spans="12:13">
      <c r="L4274" s="69">
        <v>843140</v>
      </c>
      <c r="M4274" t="s">
        <v>3208</v>
      </c>
    </row>
    <row r="4275" spans="12:13">
      <c r="L4275" s="69">
        <v>843141</v>
      </c>
      <c r="M4275" t="s">
        <v>3208</v>
      </c>
    </row>
    <row r="4276" spans="12:13">
      <c r="L4276" s="69">
        <v>843150</v>
      </c>
      <c r="M4276" t="s">
        <v>3209</v>
      </c>
    </row>
    <row r="4277" spans="12:13">
      <c r="L4277" s="69">
        <v>843151</v>
      </c>
      <c r="M4277" t="s">
        <v>3209</v>
      </c>
    </row>
    <row r="4278" spans="12:13">
      <c r="L4278" s="69">
        <v>843160</v>
      </c>
      <c r="M4278" t="s">
        <v>3210</v>
      </c>
    </row>
    <row r="4279" spans="12:13">
      <c r="L4279" s="69">
        <v>843161</v>
      </c>
      <c r="M4279" t="s">
        <v>3211</v>
      </c>
    </row>
    <row r="4280" spans="12:13">
      <c r="L4280" s="69">
        <v>843162</v>
      </c>
      <c r="M4280" t="s">
        <v>3212</v>
      </c>
    </row>
    <row r="4281" spans="12:13">
      <c r="L4281" s="69">
        <v>843165</v>
      </c>
      <c r="M4281" t="s">
        <v>3213</v>
      </c>
    </row>
    <row r="4282" spans="12:13">
      <c r="L4282" s="69">
        <v>900000</v>
      </c>
      <c r="M4282" t="s">
        <v>3215</v>
      </c>
    </row>
    <row r="4283" spans="12:13">
      <c r="L4283" s="69">
        <v>910000</v>
      </c>
      <c r="M4283" t="s">
        <v>3217</v>
      </c>
    </row>
    <row r="4284" spans="12:13">
      <c r="L4284" s="69">
        <v>911000</v>
      </c>
      <c r="M4284" t="s">
        <v>3218</v>
      </c>
    </row>
    <row r="4285" spans="12:13">
      <c r="L4285" s="69">
        <v>911100</v>
      </c>
      <c r="M4285" t="s">
        <v>3219</v>
      </c>
    </row>
    <row r="4286" spans="12:13">
      <c r="L4286" s="69">
        <v>911120</v>
      </c>
      <c r="M4286" t="s">
        <v>3220</v>
      </c>
    </row>
    <row r="4287" spans="12:13">
      <c r="L4287" s="69">
        <v>911121</v>
      </c>
      <c r="M4287" t="s">
        <v>3220</v>
      </c>
    </row>
    <row r="4288" spans="12:13">
      <c r="L4288" s="69">
        <v>911130</v>
      </c>
      <c r="M4288" t="s">
        <v>3221</v>
      </c>
    </row>
    <row r="4289" spans="12:13">
      <c r="L4289" s="69">
        <v>911131</v>
      </c>
      <c r="M4289" t="s">
        <v>3222</v>
      </c>
    </row>
    <row r="4290" spans="12:13">
      <c r="L4290" s="69">
        <v>911132</v>
      </c>
      <c r="M4290" t="s">
        <v>3223</v>
      </c>
    </row>
    <row r="4291" spans="12:13">
      <c r="L4291" s="69">
        <v>911140</v>
      </c>
      <c r="M4291" t="s">
        <v>3224</v>
      </c>
    </row>
    <row r="4292" spans="12:13">
      <c r="L4292" s="69">
        <v>911141</v>
      </c>
      <c r="M4292" t="s">
        <v>3224</v>
      </c>
    </row>
    <row r="4293" spans="12:13">
      <c r="L4293" s="69">
        <v>911150</v>
      </c>
      <c r="M4293" t="s">
        <v>3225</v>
      </c>
    </row>
    <row r="4294" spans="12:13">
      <c r="L4294" s="69">
        <v>911151</v>
      </c>
      <c r="M4294" t="s">
        <v>3225</v>
      </c>
    </row>
    <row r="4295" spans="12:13">
      <c r="L4295" s="69">
        <v>911160</v>
      </c>
      <c r="M4295" t="s">
        <v>3226</v>
      </c>
    </row>
    <row r="4296" spans="12:13">
      <c r="L4296" s="69">
        <v>911161</v>
      </c>
      <c r="M4296" t="s">
        <v>3227</v>
      </c>
    </row>
    <row r="4297" spans="12:13">
      <c r="L4297" s="69">
        <v>911162</v>
      </c>
      <c r="M4297" t="s">
        <v>3228</v>
      </c>
    </row>
    <row r="4298" spans="12:13">
      <c r="L4298" s="69">
        <v>911165</v>
      </c>
      <c r="M4298" t="s">
        <v>3229</v>
      </c>
    </row>
    <row r="4299" spans="12:13">
      <c r="L4299" s="69">
        <v>911200</v>
      </c>
      <c r="M4299" t="s">
        <v>3230</v>
      </c>
    </row>
    <row r="4300" spans="12:13">
      <c r="L4300" s="69">
        <v>911220</v>
      </c>
      <c r="M4300" t="s">
        <v>3231</v>
      </c>
    </row>
    <row r="4301" spans="12:13">
      <c r="L4301" s="69">
        <v>911221</v>
      </c>
      <c r="M4301" t="s">
        <v>3231</v>
      </c>
    </row>
    <row r="4302" spans="12:13">
      <c r="L4302" s="69">
        <v>911230</v>
      </c>
      <c r="M4302" t="s">
        <v>3232</v>
      </c>
    </row>
    <row r="4303" spans="12:13">
      <c r="L4303" s="69">
        <v>911231</v>
      </c>
      <c r="M4303" t="s">
        <v>3233</v>
      </c>
    </row>
    <row r="4304" spans="12:13">
      <c r="L4304" s="69">
        <v>911232</v>
      </c>
      <c r="M4304" t="s">
        <v>3234</v>
      </c>
    </row>
    <row r="4305" spans="12:13">
      <c r="L4305" s="69">
        <v>911240</v>
      </c>
      <c r="M4305" t="s">
        <v>3235</v>
      </c>
    </row>
    <row r="4306" spans="12:13">
      <c r="L4306" s="69">
        <v>911241</v>
      </c>
      <c r="M4306" t="s">
        <v>3235</v>
      </c>
    </row>
    <row r="4307" spans="12:13">
      <c r="L4307" s="69">
        <v>911250</v>
      </c>
      <c r="M4307" t="s">
        <v>3236</v>
      </c>
    </row>
    <row r="4308" spans="12:13">
      <c r="L4308" s="69">
        <v>911251</v>
      </c>
      <c r="M4308" t="s">
        <v>3236</v>
      </c>
    </row>
    <row r="4309" spans="12:13">
      <c r="L4309" s="69">
        <v>911260</v>
      </c>
      <c r="M4309" t="s">
        <v>3237</v>
      </c>
    </row>
    <row r="4310" spans="12:13">
      <c r="L4310" s="69">
        <v>911261</v>
      </c>
      <c r="M4310" t="s">
        <v>3238</v>
      </c>
    </row>
    <row r="4311" spans="12:13">
      <c r="L4311" s="69">
        <v>911262</v>
      </c>
      <c r="M4311" t="s">
        <v>3239</v>
      </c>
    </row>
    <row r="4312" spans="12:13">
      <c r="L4312" s="69">
        <v>911265</v>
      </c>
      <c r="M4312" t="s">
        <v>3240</v>
      </c>
    </row>
    <row r="4313" spans="12:13">
      <c r="L4313" s="69">
        <v>911300</v>
      </c>
      <c r="M4313" t="s">
        <v>3241</v>
      </c>
    </row>
    <row r="4314" spans="12:13">
      <c r="L4314" s="69">
        <v>911320</v>
      </c>
      <c r="M4314" t="s">
        <v>3242</v>
      </c>
    </row>
    <row r="4315" spans="12:13">
      <c r="L4315" s="69">
        <v>911321</v>
      </c>
      <c r="M4315" t="s">
        <v>3242</v>
      </c>
    </row>
    <row r="4316" spans="12:13">
      <c r="L4316" s="69">
        <v>911330</v>
      </c>
      <c r="M4316" t="s">
        <v>3243</v>
      </c>
    </row>
    <row r="4317" spans="12:13">
      <c r="L4317" s="69">
        <v>911331</v>
      </c>
      <c r="M4317" t="s">
        <v>3243</v>
      </c>
    </row>
    <row r="4318" spans="12:13">
      <c r="L4318" s="69">
        <v>911340</v>
      </c>
      <c r="M4318" t="s">
        <v>3244</v>
      </c>
    </row>
    <row r="4319" spans="12:13">
      <c r="L4319" s="69">
        <v>911341</v>
      </c>
      <c r="M4319" t="s">
        <v>3244</v>
      </c>
    </row>
    <row r="4320" spans="12:13">
      <c r="L4320" s="69">
        <v>911350</v>
      </c>
      <c r="M4320" t="s">
        <v>3245</v>
      </c>
    </row>
    <row r="4321" spans="12:13">
      <c r="L4321" s="69">
        <v>911351</v>
      </c>
      <c r="M4321" t="s">
        <v>3245</v>
      </c>
    </row>
    <row r="4322" spans="12:13">
      <c r="L4322" s="69">
        <v>911360</v>
      </c>
      <c r="M4322" t="s">
        <v>3246</v>
      </c>
    </row>
    <row r="4323" spans="12:13">
      <c r="L4323" s="69">
        <v>911361</v>
      </c>
      <c r="M4323" t="s">
        <v>3247</v>
      </c>
    </row>
    <row r="4324" spans="12:13">
      <c r="L4324" s="69">
        <v>911362</v>
      </c>
      <c r="M4324" t="s">
        <v>3248</v>
      </c>
    </row>
    <row r="4325" spans="12:13">
      <c r="L4325" s="69">
        <v>911365</v>
      </c>
      <c r="M4325" t="s">
        <v>3249</v>
      </c>
    </row>
    <row r="4326" spans="12:13">
      <c r="L4326" s="69">
        <v>911400</v>
      </c>
      <c r="M4326" t="s">
        <v>3250</v>
      </c>
    </row>
    <row r="4327" spans="12:13">
      <c r="L4327" s="69">
        <v>911420</v>
      </c>
      <c r="M4327" t="s">
        <v>3251</v>
      </c>
    </row>
    <row r="4328" spans="12:13">
      <c r="L4328" s="69">
        <v>911421</v>
      </c>
      <c r="M4328" t="s">
        <v>3251</v>
      </c>
    </row>
    <row r="4329" spans="12:13">
      <c r="L4329" s="69">
        <v>911430</v>
      </c>
      <c r="M4329" t="s">
        <v>3252</v>
      </c>
    </row>
    <row r="4330" spans="12:13">
      <c r="L4330" s="69">
        <v>911431</v>
      </c>
      <c r="M4330" t="s">
        <v>3253</v>
      </c>
    </row>
    <row r="4331" spans="12:13">
      <c r="L4331" s="69">
        <v>911432</v>
      </c>
      <c r="M4331" t="s">
        <v>3254</v>
      </c>
    </row>
    <row r="4332" spans="12:13">
      <c r="L4332" s="69">
        <v>911440</v>
      </c>
      <c r="M4332" t="s">
        <v>3255</v>
      </c>
    </row>
    <row r="4333" spans="12:13">
      <c r="L4333" s="69">
        <v>911441</v>
      </c>
      <c r="M4333" t="s">
        <v>3255</v>
      </c>
    </row>
    <row r="4334" spans="12:13">
      <c r="L4334" s="69">
        <v>911450</v>
      </c>
      <c r="M4334" t="s">
        <v>3257</v>
      </c>
    </row>
    <row r="4335" spans="12:13">
      <c r="L4335" s="69">
        <v>911451</v>
      </c>
      <c r="M4335" t="s">
        <v>3257</v>
      </c>
    </row>
    <row r="4336" spans="12:13">
      <c r="L4336" s="69">
        <v>911460</v>
      </c>
      <c r="M4336" t="s">
        <v>3258</v>
      </c>
    </row>
    <row r="4337" spans="12:13">
      <c r="L4337" s="69">
        <v>911461</v>
      </c>
      <c r="M4337" t="s">
        <v>3259</v>
      </c>
    </row>
    <row r="4338" spans="12:13">
      <c r="L4338" s="69">
        <v>911462</v>
      </c>
      <c r="M4338" t="s">
        <v>3260</v>
      </c>
    </row>
    <row r="4339" spans="12:13">
      <c r="L4339" s="69">
        <v>911465</v>
      </c>
      <c r="M4339" t="s">
        <v>3261</v>
      </c>
    </row>
    <row r="4340" spans="12:13">
      <c r="L4340" s="69">
        <v>911500</v>
      </c>
      <c r="M4340" t="s">
        <v>3262</v>
      </c>
    </row>
    <row r="4341" spans="12:13">
      <c r="L4341" s="69">
        <v>911520</v>
      </c>
      <c r="M4341" t="s">
        <v>3263</v>
      </c>
    </row>
    <row r="4342" spans="12:13">
      <c r="L4342" s="69">
        <v>911521</v>
      </c>
      <c r="M4342" t="s">
        <v>3263</v>
      </c>
    </row>
    <row r="4343" spans="12:13">
      <c r="L4343" s="69">
        <v>911530</v>
      </c>
      <c r="M4343" t="s">
        <v>3264</v>
      </c>
    </row>
    <row r="4344" spans="12:13">
      <c r="L4344" s="69">
        <v>911531</v>
      </c>
      <c r="M4344" t="s">
        <v>3265</v>
      </c>
    </row>
    <row r="4345" spans="12:13">
      <c r="L4345" s="69">
        <v>911532</v>
      </c>
      <c r="M4345" t="s">
        <v>3266</v>
      </c>
    </row>
    <row r="4346" spans="12:13">
      <c r="L4346" s="69">
        <v>911540</v>
      </c>
      <c r="M4346" t="s">
        <v>3267</v>
      </c>
    </row>
    <row r="4347" spans="12:13">
      <c r="L4347" s="69">
        <v>911541</v>
      </c>
      <c r="M4347" t="s">
        <v>3267</v>
      </c>
    </row>
    <row r="4348" spans="12:13">
      <c r="L4348" s="69">
        <v>911550</v>
      </c>
      <c r="M4348" t="s">
        <v>3268</v>
      </c>
    </row>
    <row r="4349" spans="12:13">
      <c r="L4349" s="69">
        <v>911551</v>
      </c>
      <c r="M4349" t="s">
        <v>3268</v>
      </c>
    </row>
    <row r="4350" spans="12:13">
      <c r="L4350" s="69">
        <v>911560</v>
      </c>
      <c r="M4350" t="s">
        <v>3269</v>
      </c>
    </row>
    <row r="4351" spans="12:13">
      <c r="L4351" s="69">
        <v>911561</v>
      </c>
      <c r="M4351" t="s">
        <v>3270</v>
      </c>
    </row>
    <row r="4352" spans="12:13">
      <c r="L4352" s="69">
        <v>911562</v>
      </c>
      <c r="M4352" t="s">
        <v>3271</v>
      </c>
    </row>
    <row r="4353" spans="12:13">
      <c r="L4353" s="69">
        <v>911565</v>
      </c>
      <c r="M4353" t="s">
        <v>3272</v>
      </c>
    </row>
    <row r="4354" spans="12:13">
      <c r="L4354" s="69">
        <v>911600</v>
      </c>
      <c r="M4354" t="s">
        <v>3273</v>
      </c>
    </row>
    <row r="4355" spans="12:13">
      <c r="L4355" s="69">
        <v>911620</v>
      </c>
      <c r="M4355" t="s">
        <v>3274</v>
      </c>
    </row>
    <row r="4356" spans="12:13">
      <c r="L4356" s="69">
        <v>911621</v>
      </c>
      <c r="M4356" t="s">
        <v>3274</v>
      </c>
    </row>
    <row r="4357" spans="12:13">
      <c r="L4357" s="69">
        <v>911630</v>
      </c>
      <c r="M4357" t="s">
        <v>3275</v>
      </c>
    </row>
    <row r="4358" spans="12:13">
      <c r="L4358" s="69">
        <v>911631</v>
      </c>
      <c r="M4358" t="s">
        <v>3275</v>
      </c>
    </row>
    <row r="4359" spans="12:13">
      <c r="L4359" s="69">
        <v>911640</v>
      </c>
      <c r="M4359" t="s">
        <v>3276</v>
      </c>
    </row>
    <row r="4360" spans="12:13">
      <c r="L4360" s="69">
        <v>911641</v>
      </c>
      <c r="M4360" t="s">
        <v>3276</v>
      </c>
    </row>
    <row r="4361" spans="12:13">
      <c r="L4361" s="69">
        <v>911650</v>
      </c>
      <c r="M4361" t="s">
        <v>3277</v>
      </c>
    </row>
    <row r="4362" spans="12:13">
      <c r="L4362" s="69">
        <v>911651</v>
      </c>
      <c r="M4362" t="s">
        <v>3277</v>
      </c>
    </row>
    <row r="4363" spans="12:13">
      <c r="L4363" s="69">
        <v>911660</v>
      </c>
      <c r="M4363" t="s">
        <v>3278</v>
      </c>
    </row>
    <row r="4364" spans="12:13">
      <c r="L4364" s="69">
        <v>911661</v>
      </c>
      <c r="M4364" t="s">
        <v>3279</v>
      </c>
    </row>
    <row r="4365" spans="12:13">
      <c r="L4365" s="69">
        <v>911662</v>
      </c>
      <c r="M4365" t="s">
        <v>3280</v>
      </c>
    </row>
    <row r="4366" spans="12:13">
      <c r="L4366" s="69">
        <v>911665</v>
      </c>
      <c r="M4366" t="s">
        <v>3281</v>
      </c>
    </row>
    <row r="4367" spans="12:13">
      <c r="L4367" s="69">
        <v>911700</v>
      </c>
      <c r="M4367" t="s">
        <v>3282</v>
      </c>
    </row>
    <row r="4368" spans="12:13">
      <c r="L4368" s="69">
        <v>911720</v>
      </c>
      <c r="M4368" t="s">
        <v>3283</v>
      </c>
    </row>
    <row r="4369" spans="12:13">
      <c r="L4369" s="69">
        <v>911721</v>
      </c>
      <c r="M4369" t="s">
        <v>3283</v>
      </c>
    </row>
    <row r="4370" spans="12:13">
      <c r="L4370" s="69">
        <v>911730</v>
      </c>
      <c r="M4370" t="s">
        <v>3284</v>
      </c>
    </row>
    <row r="4371" spans="12:13">
      <c r="L4371" s="69">
        <v>911731</v>
      </c>
      <c r="M4371" t="s">
        <v>3284</v>
      </c>
    </row>
    <row r="4372" spans="12:13">
      <c r="L4372" s="69">
        <v>911740</v>
      </c>
      <c r="M4372" t="s">
        <v>3285</v>
      </c>
    </row>
    <row r="4373" spans="12:13">
      <c r="L4373" s="69">
        <v>911741</v>
      </c>
      <c r="M4373" t="s">
        <v>3285</v>
      </c>
    </row>
    <row r="4374" spans="12:13">
      <c r="L4374" s="69">
        <v>911750</v>
      </c>
      <c r="M4374" t="s">
        <v>3286</v>
      </c>
    </row>
    <row r="4375" spans="12:13">
      <c r="L4375" s="69">
        <v>911751</v>
      </c>
      <c r="M4375" t="s">
        <v>3286</v>
      </c>
    </row>
    <row r="4376" spans="12:13">
      <c r="L4376" s="69">
        <v>911760</v>
      </c>
      <c r="M4376" t="s">
        <v>3287</v>
      </c>
    </row>
    <row r="4377" spans="12:13">
      <c r="L4377" s="69">
        <v>911761</v>
      </c>
      <c r="M4377" t="s">
        <v>3288</v>
      </c>
    </row>
    <row r="4378" spans="12:13">
      <c r="L4378" s="69">
        <v>911762</v>
      </c>
      <c r="M4378" t="s">
        <v>3289</v>
      </c>
    </row>
    <row r="4379" spans="12:13">
      <c r="L4379" s="69">
        <v>911765</v>
      </c>
      <c r="M4379" t="s">
        <v>3290</v>
      </c>
    </row>
    <row r="4380" spans="12:13">
      <c r="L4380" s="69">
        <v>911800</v>
      </c>
      <c r="M4380" t="s">
        <v>3291</v>
      </c>
    </row>
    <row r="4381" spans="12:13">
      <c r="L4381" s="69">
        <v>911820</v>
      </c>
      <c r="M4381" t="s">
        <v>3292</v>
      </c>
    </row>
    <row r="4382" spans="12:13">
      <c r="L4382" s="69">
        <v>911821</v>
      </c>
      <c r="M4382" t="s">
        <v>3292</v>
      </c>
    </row>
    <row r="4383" spans="12:13">
      <c r="L4383" s="69">
        <v>911830</v>
      </c>
      <c r="M4383" t="s">
        <v>3293</v>
      </c>
    </row>
    <row r="4384" spans="12:13">
      <c r="L4384" s="69">
        <v>911831</v>
      </c>
      <c r="M4384" t="s">
        <v>3294</v>
      </c>
    </row>
    <row r="4385" spans="12:13">
      <c r="L4385" s="69">
        <v>911832</v>
      </c>
      <c r="M4385" t="s">
        <v>3295</v>
      </c>
    </row>
    <row r="4386" spans="12:13">
      <c r="L4386" s="69">
        <v>911840</v>
      </c>
      <c r="M4386" t="s">
        <v>3296</v>
      </c>
    </row>
    <row r="4387" spans="12:13">
      <c r="L4387" s="69">
        <v>911841</v>
      </c>
      <c r="M4387" t="s">
        <v>3296</v>
      </c>
    </row>
    <row r="4388" spans="12:13">
      <c r="L4388" s="69">
        <v>911850</v>
      </c>
      <c r="M4388" t="s">
        <v>3297</v>
      </c>
    </row>
    <row r="4389" spans="12:13">
      <c r="L4389" s="69">
        <v>911851</v>
      </c>
      <c r="M4389" t="s">
        <v>3297</v>
      </c>
    </row>
    <row r="4390" spans="12:13">
      <c r="L4390" s="69">
        <v>911860</v>
      </c>
      <c r="M4390" t="s">
        <v>3298</v>
      </c>
    </row>
    <row r="4391" spans="12:13">
      <c r="L4391" s="69">
        <v>911861</v>
      </c>
      <c r="M4391" t="s">
        <v>3299</v>
      </c>
    </row>
    <row r="4392" spans="12:13">
      <c r="L4392" s="69">
        <v>911862</v>
      </c>
      <c r="M4392" t="s">
        <v>3300</v>
      </c>
    </row>
    <row r="4393" spans="12:13">
      <c r="L4393" s="69">
        <v>911865</v>
      </c>
      <c r="M4393" t="s">
        <v>3301</v>
      </c>
    </row>
    <row r="4394" spans="12:13">
      <c r="L4394" s="69">
        <v>911900</v>
      </c>
      <c r="M4394" t="s">
        <v>1985</v>
      </c>
    </row>
    <row r="4395" spans="12:13">
      <c r="L4395" s="69">
        <v>911920</v>
      </c>
      <c r="M4395" t="s">
        <v>3302</v>
      </c>
    </row>
    <row r="4396" spans="12:13">
      <c r="L4396" s="69">
        <v>911921</v>
      </c>
      <c r="M4396" t="s">
        <v>3302</v>
      </c>
    </row>
    <row r="4397" spans="12:13">
      <c r="L4397" s="69">
        <v>911930</v>
      </c>
      <c r="M4397" t="s">
        <v>3303</v>
      </c>
    </row>
    <row r="4398" spans="12:13">
      <c r="L4398" s="69">
        <v>911931</v>
      </c>
      <c r="M4398" t="s">
        <v>3304</v>
      </c>
    </row>
    <row r="4399" spans="12:13">
      <c r="L4399" s="69">
        <v>911932</v>
      </c>
      <c r="M4399" t="s">
        <v>3305</v>
      </c>
    </row>
    <row r="4400" spans="12:13">
      <c r="L4400" s="69">
        <v>911940</v>
      </c>
      <c r="M4400" t="s">
        <v>3306</v>
      </c>
    </row>
    <row r="4401" spans="12:13">
      <c r="L4401" s="69">
        <v>911941</v>
      </c>
      <c r="M4401" t="s">
        <v>3306</v>
      </c>
    </row>
    <row r="4402" spans="12:13">
      <c r="L4402" s="69">
        <v>911950</v>
      </c>
      <c r="M4402" t="s">
        <v>3307</v>
      </c>
    </row>
    <row r="4403" spans="12:13">
      <c r="L4403" s="69">
        <v>911951</v>
      </c>
      <c r="M4403" t="s">
        <v>3307</v>
      </c>
    </row>
    <row r="4404" spans="12:13">
      <c r="L4404" s="69">
        <v>911960</v>
      </c>
      <c r="M4404" t="s">
        <v>3308</v>
      </c>
    </row>
    <row r="4405" spans="12:13">
      <c r="L4405" s="69">
        <v>911961</v>
      </c>
      <c r="M4405" t="s">
        <v>3309</v>
      </c>
    </row>
    <row r="4406" spans="12:13">
      <c r="L4406" s="69">
        <v>911962</v>
      </c>
      <c r="M4406" t="s">
        <v>3310</v>
      </c>
    </row>
    <row r="4407" spans="12:13">
      <c r="L4407" s="69">
        <v>911965</v>
      </c>
      <c r="M4407" t="s">
        <v>3311</v>
      </c>
    </row>
    <row r="4408" spans="12:13">
      <c r="L4408" s="69">
        <v>912000</v>
      </c>
      <c r="M4408" t="s">
        <v>3312</v>
      </c>
    </row>
    <row r="4409" spans="12:13">
      <c r="L4409" s="69">
        <v>912100</v>
      </c>
      <c r="M4409" t="s">
        <v>3313</v>
      </c>
    </row>
    <row r="4410" spans="12:13">
      <c r="L4410" s="69">
        <v>912120</v>
      </c>
      <c r="M4410" t="s">
        <v>3314</v>
      </c>
    </row>
    <row r="4411" spans="12:13">
      <c r="L4411" s="69">
        <v>912121</v>
      </c>
      <c r="M4411" t="s">
        <v>3314</v>
      </c>
    </row>
    <row r="4412" spans="12:13">
      <c r="L4412" s="69">
        <v>912130</v>
      </c>
      <c r="M4412" t="s">
        <v>3315</v>
      </c>
    </row>
    <row r="4413" spans="12:13">
      <c r="L4413" s="69">
        <v>912131</v>
      </c>
      <c r="M4413" t="s">
        <v>3315</v>
      </c>
    </row>
    <row r="4414" spans="12:13">
      <c r="L4414" s="69">
        <v>912140</v>
      </c>
      <c r="M4414" t="s">
        <v>3316</v>
      </c>
    </row>
    <row r="4415" spans="12:13">
      <c r="L4415" s="69">
        <v>912141</v>
      </c>
      <c r="M4415" t="s">
        <v>3317</v>
      </c>
    </row>
    <row r="4416" spans="12:13">
      <c r="L4416" s="69">
        <v>912150</v>
      </c>
      <c r="M4416" t="s">
        <v>3318</v>
      </c>
    </row>
    <row r="4417" spans="12:13">
      <c r="L4417" s="69">
        <v>912151</v>
      </c>
      <c r="M4417" t="s">
        <v>3318</v>
      </c>
    </row>
    <row r="4418" spans="12:13">
      <c r="L4418" s="69">
        <v>912160</v>
      </c>
      <c r="M4418" t="s">
        <v>3319</v>
      </c>
    </row>
    <row r="4419" spans="12:13">
      <c r="L4419" s="69">
        <v>912161</v>
      </c>
      <c r="M4419" t="s">
        <v>3320</v>
      </c>
    </row>
    <row r="4420" spans="12:13">
      <c r="L4420" s="69">
        <v>912162</v>
      </c>
      <c r="M4420" t="s">
        <v>3321</v>
      </c>
    </row>
    <row r="4421" spans="12:13">
      <c r="L4421" s="69">
        <v>912165</v>
      </c>
      <c r="M4421" t="s">
        <v>3322</v>
      </c>
    </row>
    <row r="4422" spans="12:13">
      <c r="L4422" s="69">
        <v>912200</v>
      </c>
      <c r="M4422" t="s">
        <v>3323</v>
      </c>
    </row>
    <row r="4423" spans="12:13">
      <c r="L4423" s="69">
        <v>912220</v>
      </c>
      <c r="M4423" t="s">
        <v>3324</v>
      </c>
    </row>
    <row r="4424" spans="12:13">
      <c r="L4424" s="69">
        <v>912221</v>
      </c>
      <c r="M4424" t="s">
        <v>3324</v>
      </c>
    </row>
    <row r="4425" spans="12:13">
      <c r="L4425" s="69">
        <v>912230</v>
      </c>
      <c r="M4425" t="s">
        <v>3325</v>
      </c>
    </row>
    <row r="4426" spans="12:13">
      <c r="L4426" s="69">
        <v>912231</v>
      </c>
      <c r="M4426" t="s">
        <v>3326</v>
      </c>
    </row>
    <row r="4427" spans="12:13">
      <c r="L4427" s="69">
        <v>912232</v>
      </c>
      <c r="M4427" t="s">
        <v>3327</v>
      </c>
    </row>
    <row r="4428" spans="12:13">
      <c r="L4428" s="69">
        <v>912240</v>
      </c>
      <c r="M4428" t="s">
        <v>3328</v>
      </c>
    </row>
    <row r="4429" spans="12:13">
      <c r="L4429" s="69">
        <v>912241</v>
      </c>
      <c r="M4429" t="s">
        <v>3328</v>
      </c>
    </row>
    <row r="4430" spans="12:13">
      <c r="L4430" s="69">
        <v>912250</v>
      </c>
      <c r="M4430" t="s">
        <v>3329</v>
      </c>
    </row>
    <row r="4431" spans="12:13">
      <c r="L4431" s="69">
        <v>912251</v>
      </c>
      <c r="M4431" t="s">
        <v>3329</v>
      </c>
    </row>
    <row r="4432" spans="12:13">
      <c r="L4432" s="69">
        <v>912260</v>
      </c>
      <c r="M4432" t="s">
        <v>3330</v>
      </c>
    </row>
    <row r="4433" spans="12:13">
      <c r="L4433" s="69">
        <v>912261</v>
      </c>
      <c r="M4433" t="s">
        <v>3331</v>
      </c>
    </row>
    <row r="4434" spans="12:13">
      <c r="L4434" s="69">
        <v>912262</v>
      </c>
      <c r="M4434" t="s">
        <v>3332</v>
      </c>
    </row>
    <row r="4435" spans="12:13">
      <c r="L4435" s="69">
        <v>912265</v>
      </c>
      <c r="M4435" t="s">
        <v>3333</v>
      </c>
    </row>
    <row r="4436" spans="12:13">
      <c r="L4436" s="69">
        <v>912300</v>
      </c>
      <c r="M4436" t="s">
        <v>3334</v>
      </c>
    </row>
    <row r="4437" spans="12:13">
      <c r="L4437" s="69">
        <v>912320</v>
      </c>
      <c r="M4437" t="s">
        <v>3335</v>
      </c>
    </row>
    <row r="4438" spans="12:13">
      <c r="L4438" s="69">
        <v>912321</v>
      </c>
      <c r="M4438" t="s">
        <v>3335</v>
      </c>
    </row>
    <row r="4439" spans="12:13">
      <c r="L4439" s="69">
        <v>912330</v>
      </c>
      <c r="M4439" t="s">
        <v>3336</v>
      </c>
    </row>
    <row r="4440" spans="12:13">
      <c r="L4440" s="69">
        <v>912331</v>
      </c>
      <c r="M4440" t="s">
        <v>3337</v>
      </c>
    </row>
    <row r="4441" spans="12:13">
      <c r="L4441" s="69">
        <v>912332</v>
      </c>
      <c r="M4441" t="s">
        <v>3338</v>
      </c>
    </row>
    <row r="4442" spans="12:13">
      <c r="L4442" s="69">
        <v>912340</v>
      </c>
      <c r="M4442" t="s">
        <v>3339</v>
      </c>
    </row>
    <row r="4443" spans="12:13">
      <c r="L4443" s="69">
        <v>912341</v>
      </c>
      <c r="M4443" t="s">
        <v>3339</v>
      </c>
    </row>
    <row r="4444" spans="12:13">
      <c r="L4444" s="69">
        <v>912350</v>
      </c>
      <c r="M4444" t="s">
        <v>3340</v>
      </c>
    </row>
    <row r="4445" spans="12:13">
      <c r="L4445" s="69">
        <v>912351</v>
      </c>
      <c r="M4445" t="s">
        <v>3340</v>
      </c>
    </row>
    <row r="4446" spans="12:13">
      <c r="L4446" s="69">
        <v>912360</v>
      </c>
      <c r="M4446" t="s">
        <v>3341</v>
      </c>
    </row>
    <row r="4447" spans="12:13">
      <c r="L4447" s="69">
        <v>912361</v>
      </c>
      <c r="M4447" t="s">
        <v>3342</v>
      </c>
    </row>
    <row r="4448" spans="12:13">
      <c r="L4448" s="69">
        <v>912362</v>
      </c>
      <c r="M4448" t="s">
        <v>3343</v>
      </c>
    </row>
    <row r="4449" spans="12:13">
      <c r="L4449" s="69">
        <v>912365</v>
      </c>
      <c r="M4449" t="s">
        <v>3344</v>
      </c>
    </row>
    <row r="4450" spans="12:13">
      <c r="L4450" s="69">
        <v>912400</v>
      </c>
      <c r="M4450" t="s">
        <v>3345</v>
      </c>
    </row>
    <row r="4451" spans="12:13">
      <c r="L4451" s="69">
        <v>912420</v>
      </c>
      <c r="M4451" t="s">
        <v>3346</v>
      </c>
    </row>
    <row r="4452" spans="12:13">
      <c r="L4452" s="69">
        <v>912421</v>
      </c>
      <c r="M4452" t="s">
        <v>3346</v>
      </c>
    </row>
    <row r="4453" spans="12:13">
      <c r="L4453" s="69">
        <v>912430</v>
      </c>
      <c r="M4453" t="s">
        <v>3347</v>
      </c>
    </row>
    <row r="4454" spans="12:13">
      <c r="L4454" s="69">
        <v>912431</v>
      </c>
      <c r="M4454" t="s">
        <v>3348</v>
      </c>
    </row>
    <row r="4455" spans="12:13">
      <c r="L4455" s="69">
        <v>912432</v>
      </c>
      <c r="M4455" t="s">
        <v>3349</v>
      </c>
    </row>
    <row r="4456" spans="12:13">
      <c r="L4456" s="69">
        <v>912440</v>
      </c>
      <c r="M4456" t="s">
        <v>3350</v>
      </c>
    </row>
    <row r="4457" spans="12:13">
      <c r="L4457" s="69">
        <v>912441</v>
      </c>
      <c r="M4457" t="s">
        <v>3350</v>
      </c>
    </row>
    <row r="4458" spans="12:13">
      <c r="L4458" s="69">
        <v>912450</v>
      </c>
      <c r="M4458" t="s">
        <v>3351</v>
      </c>
    </row>
    <row r="4459" spans="12:13">
      <c r="L4459" s="69">
        <v>912451</v>
      </c>
      <c r="M4459" t="s">
        <v>3351</v>
      </c>
    </row>
    <row r="4460" spans="12:13">
      <c r="L4460" s="69">
        <v>912460</v>
      </c>
      <c r="M4460" t="s">
        <v>3352</v>
      </c>
    </row>
    <row r="4461" spans="12:13">
      <c r="L4461" s="69">
        <v>912461</v>
      </c>
      <c r="M4461" t="s">
        <v>3353</v>
      </c>
    </row>
    <row r="4462" spans="12:13">
      <c r="L4462" s="69">
        <v>912462</v>
      </c>
      <c r="M4462" t="s">
        <v>3354</v>
      </c>
    </row>
    <row r="4463" spans="12:13">
      <c r="L4463" s="69">
        <v>912465</v>
      </c>
      <c r="M4463" t="s">
        <v>3355</v>
      </c>
    </row>
    <row r="4464" spans="12:13">
      <c r="L4464" s="69">
        <v>912500</v>
      </c>
      <c r="M4464" t="s">
        <v>3356</v>
      </c>
    </row>
    <row r="4465" spans="12:13">
      <c r="L4465" s="69">
        <v>912520</v>
      </c>
      <c r="M4465" t="s">
        <v>3357</v>
      </c>
    </row>
    <row r="4466" spans="12:13">
      <c r="L4466" s="69">
        <v>912521</v>
      </c>
      <c r="M4466" t="s">
        <v>3357</v>
      </c>
    </row>
    <row r="4467" spans="12:13">
      <c r="L4467" s="69">
        <v>912530</v>
      </c>
      <c r="M4467" t="s">
        <v>3358</v>
      </c>
    </row>
    <row r="4468" spans="12:13">
      <c r="L4468" s="69">
        <v>912531</v>
      </c>
      <c r="M4468" t="s">
        <v>3359</v>
      </c>
    </row>
    <row r="4469" spans="12:13">
      <c r="L4469" s="69">
        <v>912532</v>
      </c>
      <c r="M4469" t="s">
        <v>3360</v>
      </c>
    </row>
    <row r="4470" spans="12:13">
      <c r="L4470" s="69">
        <v>912540</v>
      </c>
      <c r="M4470" t="s">
        <v>3361</v>
      </c>
    </row>
    <row r="4471" spans="12:13">
      <c r="L4471" s="69">
        <v>912541</v>
      </c>
      <c r="M4471" t="s">
        <v>3361</v>
      </c>
    </row>
    <row r="4472" spans="12:13">
      <c r="L4472" s="69">
        <v>912550</v>
      </c>
      <c r="M4472" t="s">
        <v>3362</v>
      </c>
    </row>
    <row r="4473" spans="12:13">
      <c r="L4473" s="69">
        <v>912551</v>
      </c>
      <c r="M4473" t="s">
        <v>3362</v>
      </c>
    </row>
    <row r="4474" spans="12:13">
      <c r="L4474" s="69">
        <v>912560</v>
      </c>
      <c r="M4474" t="s">
        <v>3363</v>
      </c>
    </row>
    <row r="4475" spans="12:13">
      <c r="L4475" s="69">
        <v>912561</v>
      </c>
      <c r="M4475" t="s">
        <v>3364</v>
      </c>
    </row>
    <row r="4476" spans="12:13">
      <c r="L4476" s="69">
        <v>912562</v>
      </c>
      <c r="M4476" t="s">
        <v>3365</v>
      </c>
    </row>
    <row r="4477" spans="12:13">
      <c r="L4477" s="69">
        <v>912565</v>
      </c>
      <c r="M4477" t="s">
        <v>3366</v>
      </c>
    </row>
    <row r="4478" spans="12:13">
      <c r="L4478" s="69">
        <v>912600</v>
      </c>
      <c r="M4478" t="s">
        <v>3367</v>
      </c>
    </row>
    <row r="4479" spans="12:13">
      <c r="L4479" s="69">
        <v>912620</v>
      </c>
      <c r="M4479" t="s">
        <v>3368</v>
      </c>
    </row>
    <row r="4480" spans="12:13">
      <c r="L4480" s="69">
        <v>912621</v>
      </c>
      <c r="M4480" t="s">
        <v>3368</v>
      </c>
    </row>
    <row r="4481" spans="12:13">
      <c r="L4481" s="69">
        <v>912630</v>
      </c>
      <c r="M4481" t="s">
        <v>3369</v>
      </c>
    </row>
    <row r="4482" spans="12:13">
      <c r="L4482" s="69">
        <v>912631</v>
      </c>
      <c r="M4482" t="s">
        <v>3369</v>
      </c>
    </row>
    <row r="4483" spans="12:13">
      <c r="L4483" s="69">
        <v>912640</v>
      </c>
      <c r="M4483" t="s">
        <v>3370</v>
      </c>
    </row>
    <row r="4484" spans="12:13">
      <c r="L4484" s="69">
        <v>912641</v>
      </c>
      <c r="M4484" t="s">
        <v>3370</v>
      </c>
    </row>
    <row r="4485" spans="12:13">
      <c r="L4485" s="69">
        <v>912650</v>
      </c>
      <c r="M4485" t="s">
        <v>3371</v>
      </c>
    </row>
    <row r="4486" spans="12:13">
      <c r="L4486" s="69">
        <v>912651</v>
      </c>
      <c r="M4486" t="s">
        <v>3371</v>
      </c>
    </row>
    <row r="4487" spans="12:13">
      <c r="L4487" s="69">
        <v>912660</v>
      </c>
      <c r="M4487" t="s">
        <v>3372</v>
      </c>
    </row>
    <row r="4488" spans="12:13">
      <c r="L4488" s="69">
        <v>912661</v>
      </c>
      <c r="M4488" t="s">
        <v>3373</v>
      </c>
    </row>
    <row r="4489" spans="12:13">
      <c r="L4489" s="69">
        <v>912662</v>
      </c>
      <c r="M4489" t="s">
        <v>3374</v>
      </c>
    </row>
    <row r="4490" spans="12:13">
      <c r="L4490" s="69">
        <v>912665</v>
      </c>
      <c r="M4490" t="s">
        <v>3375</v>
      </c>
    </row>
    <row r="4491" spans="12:13">
      <c r="L4491" s="69">
        <v>912900</v>
      </c>
      <c r="M4491" t="s">
        <v>1993</v>
      </c>
    </row>
    <row r="4492" spans="12:13">
      <c r="L4492" s="69">
        <v>912920</v>
      </c>
      <c r="M4492" t="s">
        <v>3376</v>
      </c>
    </row>
    <row r="4493" spans="12:13">
      <c r="L4493" s="69">
        <v>912921</v>
      </c>
      <c r="M4493" t="s">
        <v>3376</v>
      </c>
    </row>
    <row r="4494" spans="12:13">
      <c r="L4494" s="69">
        <v>912930</v>
      </c>
      <c r="M4494" t="s">
        <v>3377</v>
      </c>
    </row>
    <row r="4495" spans="12:13">
      <c r="L4495" s="69">
        <v>912931</v>
      </c>
      <c r="M4495" t="s">
        <v>3378</v>
      </c>
    </row>
    <row r="4496" spans="12:13">
      <c r="L4496" s="69">
        <v>912932</v>
      </c>
      <c r="M4496" t="s">
        <v>3379</v>
      </c>
    </row>
    <row r="4497" spans="12:13">
      <c r="L4497" s="69">
        <v>912940</v>
      </c>
      <c r="M4497" t="s">
        <v>3380</v>
      </c>
    </row>
    <row r="4498" spans="12:13">
      <c r="L4498" s="69">
        <v>912941</v>
      </c>
      <c r="M4498" t="s">
        <v>3380</v>
      </c>
    </row>
    <row r="4499" spans="12:13">
      <c r="L4499" s="69">
        <v>912950</v>
      </c>
      <c r="M4499" t="s">
        <v>3381</v>
      </c>
    </row>
    <row r="4500" spans="12:13">
      <c r="L4500" s="69">
        <v>912951</v>
      </c>
      <c r="M4500" t="s">
        <v>3381</v>
      </c>
    </row>
    <row r="4501" spans="12:13">
      <c r="L4501" s="69">
        <v>912960</v>
      </c>
      <c r="M4501" t="s">
        <v>3382</v>
      </c>
    </row>
    <row r="4502" spans="12:13">
      <c r="L4502" s="69">
        <v>912961</v>
      </c>
      <c r="M4502" t="s">
        <v>3383</v>
      </c>
    </row>
    <row r="4503" spans="12:13">
      <c r="L4503" s="69">
        <v>912962</v>
      </c>
      <c r="M4503" t="s">
        <v>3384</v>
      </c>
    </row>
    <row r="4504" spans="12:13">
      <c r="L4504" s="69">
        <v>912965</v>
      </c>
      <c r="M4504" t="s">
        <v>3385</v>
      </c>
    </row>
    <row r="4505" spans="12:13">
      <c r="L4505" s="69">
        <v>920000</v>
      </c>
      <c r="M4505" t="s">
        <v>1211</v>
      </c>
    </row>
    <row r="4506" spans="12:13">
      <c r="L4506" s="69">
        <v>921000</v>
      </c>
      <c r="M4506" t="s">
        <v>3387</v>
      </c>
    </row>
    <row r="4507" spans="12:13">
      <c r="L4507" s="69">
        <v>921100</v>
      </c>
      <c r="M4507" t="s">
        <v>3388</v>
      </c>
    </row>
    <row r="4508" spans="12:13">
      <c r="L4508" s="69">
        <v>921120</v>
      </c>
      <c r="M4508" t="s">
        <v>3389</v>
      </c>
    </row>
    <row r="4509" spans="12:13">
      <c r="L4509" s="69">
        <v>921121</v>
      </c>
      <c r="M4509" t="s">
        <v>3389</v>
      </c>
    </row>
    <row r="4510" spans="12:13">
      <c r="L4510" s="69">
        <v>921130</v>
      </c>
      <c r="M4510" t="s">
        <v>3390</v>
      </c>
    </row>
    <row r="4511" spans="12:13">
      <c r="L4511" s="69">
        <v>921131</v>
      </c>
      <c r="M4511" t="s">
        <v>3391</v>
      </c>
    </row>
    <row r="4512" spans="12:13">
      <c r="L4512" s="69">
        <v>921132</v>
      </c>
      <c r="M4512" t="s">
        <v>3392</v>
      </c>
    </row>
    <row r="4513" spans="12:13">
      <c r="L4513" s="69">
        <v>921140</v>
      </c>
      <c r="M4513" t="s">
        <v>3393</v>
      </c>
    </row>
    <row r="4514" spans="12:13">
      <c r="L4514" s="69">
        <v>921141</v>
      </c>
      <c r="M4514" t="s">
        <v>3393</v>
      </c>
    </row>
    <row r="4515" spans="12:13">
      <c r="L4515" s="69">
        <v>921150</v>
      </c>
      <c r="M4515" t="s">
        <v>3394</v>
      </c>
    </row>
    <row r="4516" spans="12:13">
      <c r="L4516" s="69">
        <v>921151</v>
      </c>
      <c r="M4516" t="s">
        <v>3394</v>
      </c>
    </row>
    <row r="4517" spans="12:13">
      <c r="L4517" s="69">
        <v>921160</v>
      </c>
      <c r="M4517" t="s">
        <v>3395</v>
      </c>
    </row>
    <row r="4518" spans="12:13">
      <c r="L4518" s="69">
        <v>921161</v>
      </c>
      <c r="M4518" t="s">
        <v>3396</v>
      </c>
    </row>
    <row r="4519" spans="12:13">
      <c r="L4519" s="69">
        <v>921162</v>
      </c>
      <c r="M4519" t="s">
        <v>3397</v>
      </c>
    </row>
    <row r="4520" spans="12:13">
      <c r="L4520" s="69">
        <v>921165</v>
      </c>
      <c r="M4520" t="s">
        <v>3398</v>
      </c>
    </row>
    <row r="4521" spans="12:13">
      <c r="L4521" s="69">
        <v>921220</v>
      </c>
      <c r="M4521" t="s">
        <v>3399</v>
      </c>
    </row>
    <row r="4522" spans="12:13">
      <c r="L4522" s="69">
        <v>921221</v>
      </c>
      <c r="M4522" t="s">
        <v>3399</v>
      </c>
    </row>
    <row r="4523" spans="12:13">
      <c r="L4523" s="69">
        <v>921230</v>
      </c>
      <c r="M4523" t="s">
        <v>3400</v>
      </c>
    </row>
    <row r="4524" spans="12:13">
      <c r="L4524" s="69">
        <v>921231</v>
      </c>
      <c r="M4524" t="s">
        <v>3401</v>
      </c>
    </row>
    <row r="4525" spans="12:13">
      <c r="L4525" s="69">
        <v>921232</v>
      </c>
      <c r="M4525" t="s">
        <v>3402</v>
      </c>
    </row>
    <row r="4526" spans="12:13">
      <c r="L4526" s="69">
        <v>921240</v>
      </c>
      <c r="M4526" t="s">
        <v>3403</v>
      </c>
    </row>
    <row r="4527" spans="12:13">
      <c r="L4527" s="69">
        <v>921241</v>
      </c>
      <c r="M4527" t="s">
        <v>3403</v>
      </c>
    </row>
    <row r="4528" spans="12:13">
      <c r="L4528" s="69">
        <v>921250</v>
      </c>
      <c r="M4528" t="s">
        <v>3404</v>
      </c>
    </row>
    <row r="4529" spans="12:13">
      <c r="L4529" s="69">
        <v>921251</v>
      </c>
      <c r="M4529" t="s">
        <v>3404</v>
      </c>
    </row>
    <row r="4530" spans="12:13">
      <c r="L4530" s="69">
        <v>921260</v>
      </c>
      <c r="M4530" t="s">
        <v>3405</v>
      </c>
    </row>
    <row r="4531" spans="12:13">
      <c r="L4531" s="69">
        <v>921261</v>
      </c>
      <c r="M4531" t="s">
        <v>3406</v>
      </c>
    </row>
    <row r="4532" spans="12:13">
      <c r="L4532" s="69">
        <v>921262</v>
      </c>
      <c r="M4532" t="s">
        <v>3407</v>
      </c>
    </row>
    <row r="4533" spans="12:13">
      <c r="L4533" s="69">
        <v>921265</v>
      </c>
      <c r="M4533" t="s">
        <v>3408</v>
      </c>
    </row>
    <row r="4534" spans="12:13">
      <c r="L4534" s="69">
        <v>921300</v>
      </c>
      <c r="M4534" t="s">
        <v>3409</v>
      </c>
    </row>
    <row r="4535" spans="12:13">
      <c r="L4535" s="69">
        <v>921320</v>
      </c>
      <c r="M4535" t="s">
        <v>3410</v>
      </c>
    </row>
    <row r="4536" spans="12:13">
      <c r="L4536" s="69">
        <v>921321</v>
      </c>
      <c r="M4536" t="s">
        <v>3410</v>
      </c>
    </row>
    <row r="4537" spans="12:13">
      <c r="L4537" s="69">
        <v>921330</v>
      </c>
      <c r="M4537" t="s">
        <v>3411</v>
      </c>
    </row>
    <row r="4538" spans="12:13">
      <c r="L4538" s="69">
        <v>921331</v>
      </c>
      <c r="M4538" t="s">
        <v>3411</v>
      </c>
    </row>
    <row r="4539" spans="12:13">
      <c r="L4539" s="69">
        <v>921340</v>
      </c>
      <c r="M4539" t="s">
        <v>3412</v>
      </c>
    </row>
    <row r="4540" spans="12:13">
      <c r="L4540" s="69">
        <v>921341</v>
      </c>
      <c r="M4540" t="s">
        <v>3412</v>
      </c>
    </row>
    <row r="4541" spans="12:13">
      <c r="L4541" s="69">
        <v>921350</v>
      </c>
      <c r="M4541" t="s">
        <v>3413</v>
      </c>
    </row>
    <row r="4542" spans="12:13">
      <c r="L4542" s="69">
        <v>921351</v>
      </c>
      <c r="M4542" t="s">
        <v>3413</v>
      </c>
    </row>
    <row r="4543" spans="12:13">
      <c r="L4543" s="69">
        <v>921360</v>
      </c>
      <c r="M4543" t="s">
        <v>3414</v>
      </c>
    </row>
    <row r="4544" spans="12:13">
      <c r="L4544" s="69">
        <v>921361</v>
      </c>
      <c r="M4544" t="s">
        <v>3415</v>
      </c>
    </row>
    <row r="4545" spans="12:13">
      <c r="L4545" s="69">
        <v>921362</v>
      </c>
      <c r="M4545" t="s">
        <v>3416</v>
      </c>
    </row>
    <row r="4546" spans="12:13">
      <c r="L4546" s="69">
        <v>921365</v>
      </c>
      <c r="M4546" t="s">
        <v>3417</v>
      </c>
    </row>
    <row r="4547" spans="12:13">
      <c r="L4547" s="69">
        <v>921400</v>
      </c>
      <c r="M4547" t="s">
        <v>3418</v>
      </c>
    </row>
    <row r="4548" spans="12:13">
      <c r="L4548" s="69">
        <v>921420</v>
      </c>
      <c r="M4548" t="s">
        <v>3419</v>
      </c>
    </row>
    <row r="4549" spans="12:13">
      <c r="L4549" s="69">
        <v>921421</v>
      </c>
      <c r="M4549" t="s">
        <v>3419</v>
      </c>
    </row>
    <row r="4550" spans="12:13">
      <c r="L4550" s="69">
        <v>921430</v>
      </c>
      <c r="M4550" t="s">
        <v>3420</v>
      </c>
    </row>
    <row r="4551" spans="12:13">
      <c r="L4551" s="69">
        <v>921431</v>
      </c>
      <c r="M4551" t="s">
        <v>3420</v>
      </c>
    </row>
    <row r="4552" spans="12:13">
      <c r="L4552" s="69">
        <v>921440</v>
      </c>
      <c r="M4552" t="s">
        <v>3421</v>
      </c>
    </row>
    <row r="4553" spans="12:13">
      <c r="L4553" s="69">
        <v>921441</v>
      </c>
      <c r="M4553" t="s">
        <v>3421</v>
      </c>
    </row>
    <row r="4554" spans="12:13">
      <c r="L4554" s="69">
        <v>921450</v>
      </c>
      <c r="M4554" t="s">
        <v>3422</v>
      </c>
    </row>
    <row r="4555" spans="12:13">
      <c r="L4555" s="69">
        <v>921451</v>
      </c>
      <c r="M4555" t="s">
        <v>3422</v>
      </c>
    </row>
    <row r="4556" spans="12:13">
      <c r="L4556" s="69">
        <v>921460</v>
      </c>
      <c r="M4556" t="s">
        <v>3423</v>
      </c>
    </row>
    <row r="4557" spans="12:13">
      <c r="L4557" s="69">
        <v>921461</v>
      </c>
      <c r="M4557" t="s">
        <v>3424</v>
      </c>
    </row>
    <row r="4558" spans="12:13">
      <c r="L4558" s="69">
        <v>921462</v>
      </c>
      <c r="M4558" t="s">
        <v>3425</v>
      </c>
    </row>
    <row r="4559" spans="12:13">
      <c r="L4559" s="69">
        <v>921465</v>
      </c>
      <c r="M4559" t="s">
        <v>3426</v>
      </c>
    </row>
    <row r="4560" spans="12:13">
      <c r="L4560" s="69">
        <v>921500</v>
      </c>
      <c r="M4560" t="s">
        <v>3427</v>
      </c>
    </row>
    <row r="4561" spans="12:13">
      <c r="L4561" s="69">
        <v>921520</v>
      </c>
      <c r="M4561" t="s">
        <v>3428</v>
      </c>
    </row>
    <row r="4562" spans="12:13">
      <c r="L4562" s="69">
        <v>921521</v>
      </c>
      <c r="M4562" t="s">
        <v>3428</v>
      </c>
    </row>
    <row r="4563" spans="12:13">
      <c r="L4563" s="69">
        <v>921530</v>
      </c>
      <c r="M4563" t="s">
        <v>3429</v>
      </c>
    </row>
    <row r="4564" spans="12:13">
      <c r="L4564" s="69">
        <v>921531</v>
      </c>
      <c r="M4564" t="s">
        <v>3430</v>
      </c>
    </row>
    <row r="4565" spans="12:13">
      <c r="L4565" s="69">
        <v>921532</v>
      </c>
      <c r="M4565" t="s">
        <v>3431</v>
      </c>
    </row>
    <row r="4566" spans="12:13">
      <c r="L4566" s="69">
        <v>921540</v>
      </c>
      <c r="M4566" t="s">
        <v>3432</v>
      </c>
    </row>
    <row r="4567" spans="12:13">
      <c r="L4567" s="69">
        <v>921541</v>
      </c>
      <c r="M4567" t="s">
        <v>3432</v>
      </c>
    </row>
    <row r="4568" spans="12:13">
      <c r="L4568" s="69">
        <v>921550</v>
      </c>
      <c r="M4568" t="s">
        <v>3433</v>
      </c>
    </row>
    <row r="4569" spans="12:13">
      <c r="L4569" s="69">
        <v>921551</v>
      </c>
      <c r="M4569" t="s">
        <v>3433</v>
      </c>
    </row>
    <row r="4570" spans="12:13">
      <c r="L4570" s="69">
        <v>921560</v>
      </c>
      <c r="M4570" t="s">
        <v>3434</v>
      </c>
    </row>
    <row r="4571" spans="12:13">
      <c r="L4571" s="69">
        <v>921561</v>
      </c>
      <c r="M4571" t="s">
        <v>3435</v>
      </c>
    </row>
    <row r="4572" spans="12:13">
      <c r="L4572" s="69">
        <v>921562</v>
      </c>
      <c r="M4572" t="s">
        <v>3436</v>
      </c>
    </row>
    <row r="4573" spans="12:13">
      <c r="L4573" s="69">
        <v>921565</v>
      </c>
      <c r="M4573" t="s">
        <v>3437</v>
      </c>
    </row>
    <row r="4574" spans="12:13">
      <c r="L4574" s="69">
        <v>921600</v>
      </c>
      <c r="M4574" t="s">
        <v>3438</v>
      </c>
    </row>
    <row r="4575" spans="12:13">
      <c r="L4575" s="69">
        <v>921620</v>
      </c>
      <c r="M4575" t="s">
        <v>3439</v>
      </c>
    </row>
    <row r="4576" spans="12:13">
      <c r="L4576" s="69">
        <v>921621</v>
      </c>
      <c r="M4576" t="s">
        <v>3439</v>
      </c>
    </row>
    <row r="4577" spans="12:13">
      <c r="L4577" s="69">
        <v>921630</v>
      </c>
      <c r="M4577" t="s">
        <v>3440</v>
      </c>
    </row>
    <row r="4578" spans="12:13">
      <c r="L4578" s="69">
        <v>921631</v>
      </c>
      <c r="M4578" t="s">
        <v>3441</v>
      </c>
    </row>
    <row r="4579" spans="12:13">
      <c r="L4579" s="69">
        <v>921632</v>
      </c>
      <c r="M4579" t="s">
        <v>3442</v>
      </c>
    </row>
    <row r="4580" spans="12:13">
      <c r="L4580" s="69">
        <v>921640</v>
      </c>
      <c r="M4580" t="s">
        <v>3443</v>
      </c>
    </row>
    <row r="4581" spans="12:13">
      <c r="L4581" s="69">
        <v>921641</v>
      </c>
      <c r="M4581" t="s">
        <v>3443</v>
      </c>
    </row>
    <row r="4582" spans="12:13">
      <c r="L4582" s="69">
        <v>921650</v>
      </c>
      <c r="M4582" t="s">
        <v>3444</v>
      </c>
    </row>
    <row r="4583" spans="12:13">
      <c r="L4583" s="69">
        <v>921651</v>
      </c>
      <c r="M4583" t="s">
        <v>3444</v>
      </c>
    </row>
    <row r="4584" spans="12:13">
      <c r="L4584" s="69">
        <v>921660</v>
      </c>
      <c r="M4584" t="s">
        <v>3445</v>
      </c>
    </row>
    <row r="4585" spans="12:13">
      <c r="L4585" s="69">
        <v>921661</v>
      </c>
      <c r="M4585" t="s">
        <v>3446</v>
      </c>
    </row>
    <row r="4586" spans="12:13">
      <c r="L4586" s="69">
        <v>921662</v>
      </c>
      <c r="M4586" t="s">
        <v>3447</v>
      </c>
    </row>
    <row r="4587" spans="12:13">
      <c r="L4587" s="69">
        <v>921665</v>
      </c>
      <c r="M4587" t="s">
        <v>3448</v>
      </c>
    </row>
    <row r="4588" spans="12:13">
      <c r="L4588" s="69">
        <v>921700</v>
      </c>
      <c r="M4588" t="s">
        <v>3449</v>
      </c>
    </row>
    <row r="4589" spans="12:13">
      <c r="L4589" s="69">
        <v>921720</v>
      </c>
      <c r="M4589" t="s">
        <v>3450</v>
      </c>
    </row>
    <row r="4590" spans="12:13">
      <c r="L4590" s="69">
        <v>921721</v>
      </c>
      <c r="M4590" t="s">
        <v>3450</v>
      </c>
    </row>
    <row r="4591" spans="12:13">
      <c r="L4591" s="69">
        <v>921730</v>
      </c>
      <c r="M4591" t="s">
        <v>3451</v>
      </c>
    </row>
    <row r="4592" spans="12:13">
      <c r="L4592" s="69">
        <v>921731</v>
      </c>
      <c r="M4592" t="s">
        <v>3452</v>
      </c>
    </row>
    <row r="4593" spans="12:13">
      <c r="L4593" s="69">
        <v>921732</v>
      </c>
      <c r="M4593" t="s">
        <v>3453</v>
      </c>
    </row>
    <row r="4594" spans="12:13">
      <c r="L4594" s="69">
        <v>921740</v>
      </c>
      <c r="M4594" t="s">
        <v>3454</v>
      </c>
    </row>
    <row r="4595" spans="12:13">
      <c r="L4595" s="69">
        <v>921741</v>
      </c>
      <c r="M4595" t="s">
        <v>3454</v>
      </c>
    </row>
    <row r="4596" spans="12:13">
      <c r="L4596" s="69">
        <v>921750</v>
      </c>
      <c r="M4596" t="s">
        <v>3455</v>
      </c>
    </row>
    <row r="4597" spans="12:13">
      <c r="L4597" s="69">
        <v>921751</v>
      </c>
      <c r="M4597" t="s">
        <v>3455</v>
      </c>
    </row>
    <row r="4598" spans="12:13">
      <c r="L4598" s="69">
        <v>921760</v>
      </c>
      <c r="M4598" t="s">
        <v>3456</v>
      </c>
    </row>
    <row r="4599" spans="12:13">
      <c r="L4599" s="69">
        <v>921761</v>
      </c>
      <c r="M4599" t="s">
        <v>3457</v>
      </c>
    </row>
    <row r="4600" spans="12:13">
      <c r="L4600" s="69">
        <v>921762</v>
      </c>
      <c r="M4600" t="s">
        <v>3458</v>
      </c>
    </row>
    <row r="4601" spans="12:13">
      <c r="L4601" s="69">
        <v>921765</v>
      </c>
      <c r="M4601" t="s">
        <v>3459</v>
      </c>
    </row>
    <row r="4602" spans="12:13">
      <c r="L4602" s="69">
        <v>921800</v>
      </c>
      <c r="M4602" t="s">
        <v>3460</v>
      </c>
    </row>
    <row r="4603" spans="12:13">
      <c r="L4603" s="69">
        <v>921820</v>
      </c>
      <c r="M4603" t="s">
        <v>3461</v>
      </c>
    </row>
    <row r="4604" spans="12:13">
      <c r="L4604" s="69">
        <v>921821</v>
      </c>
      <c r="M4604" t="s">
        <v>3461</v>
      </c>
    </row>
    <row r="4605" spans="12:13">
      <c r="L4605" s="69">
        <v>921830</v>
      </c>
      <c r="M4605" t="s">
        <v>3462</v>
      </c>
    </row>
    <row r="4606" spans="12:13">
      <c r="L4606" s="69">
        <v>921831</v>
      </c>
      <c r="M4606" t="s">
        <v>3462</v>
      </c>
    </row>
    <row r="4607" spans="12:13">
      <c r="L4607" s="69">
        <v>921840</v>
      </c>
      <c r="M4607" t="s">
        <v>3463</v>
      </c>
    </row>
    <row r="4608" spans="12:13">
      <c r="L4608" s="69">
        <v>921841</v>
      </c>
      <c r="M4608" t="s">
        <v>3463</v>
      </c>
    </row>
    <row r="4609" spans="12:13">
      <c r="L4609" s="69">
        <v>921850</v>
      </c>
      <c r="M4609" t="s">
        <v>3464</v>
      </c>
    </row>
    <row r="4610" spans="12:13">
      <c r="L4610" s="69">
        <v>921851</v>
      </c>
      <c r="M4610" t="s">
        <v>3464</v>
      </c>
    </row>
    <row r="4611" spans="12:13">
      <c r="L4611" s="69">
        <v>921860</v>
      </c>
      <c r="M4611" t="s">
        <v>3465</v>
      </c>
    </row>
    <row r="4612" spans="12:13">
      <c r="L4612" s="69">
        <v>921861</v>
      </c>
      <c r="M4612" t="s">
        <v>3466</v>
      </c>
    </row>
    <row r="4613" spans="12:13">
      <c r="L4613" s="69">
        <v>921862</v>
      </c>
      <c r="M4613" t="s">
        <v>3467</v>
      </c>
    </row>
    <row r="4614" spans="12:13">
      <c r="L4614" s="69">
        <v>921865</v>
      </c>
      <c r="M4614" t="s">
        <v>3468</v>
      </c>
    </row>
    <row r="4615" spans="12:13">
      <c r="L4615" s="69">
        <v>921900</v>
      </c>
      <c r="M4615" t="s">
        <v>3469</v>
      </c>
    </row>
    <row r="4616" spans="12:13">
      <c r="L4616" s="69">
        <v>921920</v>
      </c>
      <c r="M4616" t="s">
        <v>3470</v>
      </c>
    </row>
    <row r="4617" spans="12:13">
      <c r="L4617" s="69">
        <v>921921</v>
      </c>
      <c r="M4617" t="s">
        <v>3471</v>
      </c>
    </row>
    <row r="4618" spans="12:13">
      <c r="L4618" s="69">
        <v>921922</v>
      </c>
      <c r="M4618" t="s">
        <v>3472</v>
      </c>
    </row>
    <row r="4619" spans="12:13">
      <c r="L4619" s="69">
        <v>921923</v>
      </c>
      <c r="M4619" t="s">
        <v>3473</v>
      </c>
    </row>
    <row r="4620" spans="12:13">
      <c r="L4620" s="69">
        <v>921930</v>
      </c>
      <c r="M4620" t="s">
        <v>3474</v>
      </c>
    </row>
    <row r="4621" spans="12:13">
      <c r="L4621" s="69">
        <v>921931</v>
      </c>
      <c r="M4621" t="s">
        <v>3475</v>
      </c>
    </row>
    <row r="4622" spans="12:13">
      <c r="L4622" s="69">
        <v>921932</v>
      </c>
      <c r="M4622" t="s">
        <v>3476</v>
      </c>
    </row>
    <row r="4623" spans="12:13">
      <c r="L4623" s="69">
        <v>921940</v>
      </c>
      <c r="M4623" t="s">
        <v>3477</v>
      </c>
    </row>
    <row r="4624" spans="12:13">
      <c r="L4624" s="69">
        <v>921941</v>
      </c>
      <c r="M4624" t="s">
        <v>3477</v>
      </c>
    </row>
    <row r="4625" spans="12:13">
      <c r="L4625" s="69">
        <v>921950</v>
      </c>
      <c r="M4625" t="s">
        <v>3479</v>
      </c>
    </row>
    <row r="4626" spans="12:13">
      <c r="L4626" s="69">
        <v>921951</v>
      </c>
      <c r="M4626" t="s">
        <v>3479</v>
      </c>
    </row>
    <row r="4627" spans="12:13">
      <c r="L4627" s="69">
        <v>921960</v>
      </c>
      <c r="M4627" t="s">
        <v>3480</v>
      </c>
    </row>
    <row r="4628" spans="12:13">
      <c r="L4628" s="69">
        <v>921961</v>
      </c>
      <c r="M4628" t="s">
        <v>3481</v>
      </c>
    </row>
    <row r="4629" spans="12:13">
      <c r="L4629" s="69">
        <v>921962</v>
      </c>
      <c r="M4629" t="s">
        <v>3482</v>
      </c>
    </row>
    <row r="4630" spans="12:13">
      <c r="L4630" s="69">
        <v>921965</v>
      </c>
      <c r="M4630" t="s">
        <v>3483</v>
      </c>
    </row>
    <row r="4631" spans="12:13">
      <c r="L4631" s="69">
        <v>922000</v>
      </c>
      <c r="M4631" t="s">
        <v>3484</v>
      </c>
    </row>
    <row r="4632" spans="12:13">
      <c r="L4632" s="69">
        <v>922100</v>
      </c>
      <c r="M4632" t="s">
        <v>3485</v>
      </c>
    </row>
    <row r="4633" spans="12:13">
      <c r="L4633" s="69">
        <v>922120</v>
      </c>
      <c r="M4633" t="s">
        <v>3486</v>
      </c>
    </row>
    <row r="4634" spans="12:13">
      <c r="L4634" s="69">
        <v>922121</v>
      </c>
      <c r="M4634" t="s">
        <v>3486</v>
      </c>
    </row>
    <row r="4635" spans="12:13">
      <c r="L4635" s="69">
        <v>922130</v>
      </c>
      <c r="M4635" t="s">
        <v>3487</v>
      </c>
    </row>
    <row r="4636" spans="12:13">
      <c r="L4636" s="69">
        <v>922131</v>
      </c>
      <c r="M4636" t="s">
        <v>3488</v>
      </c>
    </row>
    <row r="4637" spans="12:13">
      <c r="L4637" s="69">
        <v>922132</v>
      </c>
      <c r="M4637" t="s">
        <v>3489</v>
      </c>
    </row>
    <row r="4638" spans="12:13">
      <c r="L4638" s="69">
        <v>922140</v>
      </c>
      <c r="M4638" t="s">
        <v>3490</v>
      </c>
    </row>
    <row r="4639" spans="12:13">
      <c r="L4639" s="69">
        <v>922141</v>
      </c>
      <c r="M4639" t="s">
        <v>3490</v>
      </c>
    </row>
    <row r="4640" spans="12:13">
      <c r="L4640" s="69">
        <v>922150</v>
      </c>
      <c r="M4640" t="s">
        <v>3491</v>
      </c>
    </row>
    <row r="4641" spans="12:13">
      <c r="L4641" s="69">
        <v>922151</v>
      </c>
      <c r="M4641" t="s">
        <v>3491</v>
      </c>
    </row>
    <row r="4642" spans="12:13">
      <c r="L4642" s="69">
        <v>922160</v>
      </c>
      <c r="M4642" t="s">
        <v>3492</v>
      </c>
    </row>
    <row r="4643" spans="12:13">
      <c r="L4643" s="69">
        <v>922161</v>
      </c>
      <c r="M4643" t="s">
        <v>3493</v>
      </c>
    </row>
    <row r="4644" spans="12:13">
      <c r="L4644" s="69">
        <v>922162</v>
      </c>
      <c r="M4644" t="s">
        <v>3494</v>
      </c>
    </row>
    <row r="4645" spans="12:13">
      <c r="L4645" s="69">
        <v>922165</v>
      </c>
      <c r="M4645" t="s">
        <v>3495</v>
      </c>
    </row>
    <row r="4646" spans="12:13">
      <c r="L4646" s="69">
        <v>922200</v>
      </c>
      <c r="M4646" t="s">
        <v>3496</v>
      </c>
    </row>
    <row r="4647" spans="12:13">
      <c r="L4647" s="69">
        <v>922220</v>
      </c>
      <c r="M4647" t="s">
        <v>3497</v>
      </c>
    </row>
    <row r="4648" spans="12:13">
      <c r="L4648" s="69">
        <v>922221</v>
      </c>
      <c r="M4648" t="s">
        <v>3497</v>
      </c>
    </row>
    <row r="4649" spans="12:13">
      <c r="L4649" s="69">
        <v>922230</v>
      </c>
      <c r="M4649" t="s">
        <v>3498</v>
      </c>
    </row>
    <row r="4650" spans="12:13">
      <c r="L4650" s="69">
        <v>922231</v>
      </c>
      <c r="M4650" t="s">
        <v>3498</v>
      </c>
    </row>
    <row r="4651" spans="12:13">
      <c r="L4651" s="69">
        <v>922240</v>
      </c>
      <c r="M4651" t="s">
        <v>3499</v>
      </c>
    </row>
    <row r="4652" spans="12:13">
      <c r="L4652" s="69">
        <v>922241</v>
      </c>
      <c r="M4652" t="s">
        <v>3499</v>
      </c>
    </row>
    <row r="4653" spans="12:13">
      <c r="L4653" s="69">
        <v>922250</v>
      </c>
      <c r="M4653" t="s">
        <v>3500</v>
      </c>
    </row>
    <row r="4654" spans="12:13">
      <c r="L4654" s="69">
        <v>922251</v>
      </c>
      <c r="M4654" t="s">
        <v>3500</v>
      </c>
    </row>
    <row r="4655" spans="12:13">
      <c r="L4655" s="69">
        <v>922260</v>
      </c>
      <c r="M4655" t="s">
        <v>3501</v>
      </c>
    </row>
    <row r="4656" spans="12:13">
      <c r="L4656" s="69">
        <v>922261</v>
      </c>
      <c r="M4656" t="s">
        <v>3502</v>
      </c>
    </row>
    <row r="4657" spans="12:13">
      <c r="L4657" s="69">
        <v>922262</v>
      </c>
      <c r="M4657" t="s">
        <v>3503</v>
      </c>
    </row>
    <row r="4658" spans="12:13">
      <c r="L4658" s="69">
        <v>922265</v>
      </c>
      <c r="M4658" t="s">
        <v>3504</v>
      </c>
    </row>
    <row r="4659" spans="12:13">
      <c r="L4659" s="69">
        <v>922300</v>
      </c>
      <c r="M4659" t="s">
        <v>3505</v>
      </c>
    </row>
    <row r="4660" spans="12:13">
      <c r="L4660" s="69">
        <v>922320</v>
      </c>
      <c r="M4660" t="s">
        <v>3506</v>
      </c>
    </row>
    <row r="4661" spans="12:13">
      <c r="L4661" s="69">
        <v>922321</v>
      </c>
      <c r="M4661" t="s">
        <v>3506</v>
      </c>
    </row>
    <row r="4662" spans="12:13">
      <c r="L4662" s="69">
        <v>922330</v>
      </c>
      <c r="M4662" t="s">
        <v>3507</v>
      </c>
    </row>
    <row r="4663" spans="12:13">
      <c r="L4663" s="69">
        <v>922331</v>
      </c>
      <c r="M4663" t="s">
        <v>3507</v>
      </c>
    </row>
    <row r="4664" spans="12:13">
      <c r="L4664" s="69">
        <v>922340</v>
      </c>
      <c r="M4664" t="s">
        <v>3508</v>
      </c>
    </row>
    <row r="4665" spans="12:13">
      <c r="L4665" s="69">
        <v>922341</v>
      </c>
      <c r="M4665" t="s">
        <v>3508</v>
      </c>
    </row>
    <row r="4666" spans="12:13">
      <c r="L4666" s="69">
        <v>922350</v>
      </c>
      <c r="M4666" t="s">
        <v>3509</v>
      </c>
    </row>
    <row r="4667" spans="12:13">
      <c r="L4667" s="69">
        <v>922351</v>
      </c>
      <c r="M4667" t="s">
        <v>3509</v>
      </c>
    </row>
    <row r="4668" spans="12:13">
      <c r="L4668" s="69">
        <v>922360</v>
      </c>
      <c r="M4668" t="s">
        <v>3510</v>
      </c>
    </row>
    <row r="4669" spans="12:13">
      <c r="L4669" s="69">
        <v>922361</v>
      </c>
      <c r="M4669" t="s">
        <v>3511</v>
      </c>
    </row>
    <row r="4670" spans="12:13">
      <c r="L4670" s="69">
        <v>922362</v>
      </c>
      <c r="M4670" t="s">
        <v>3512</v>
      </c>
    </row>
    <row r="4671" spans="12:13">
      <c r="L4671" s="69">
        <v>922365</v>
      </c>
      <c r="M4671" t="s">
        <v>3513</v>
      </c>
    </row>
    <row r="4672" spans="12:13">
      <c r="L4672" s="69">
        <v>922400</v>
      </c>
      <c r="M4672" t="s">
        <v>3514</v>
      </c>
    </row>
    <row r="4673" spans="12:13">
      <c r="L4673" s="69">
        <v>922420</v>
      </c>
      <c r="M4673" t="s">
        <v>3515</v>
      </c>
    </row>
    <row r="4674" spans="12:13">
      <c r="L4674" s="69">
        <v>922421</v>
      </c>
      <c r="M4674" t="s">
        <v>3515</v>
      </c>
    </row>
    <row r="4675" spans="12:13">
      <c r="L4675" s="69">
        <v>922430</v>
      </c>
      <c r="M4675" t="s">
        <v>3516</v>
      </c>
    </row>
    <row r="4676" spans="12:13">
      <c r="L4676" s="69">
        <v>922431</v>
      </c>
      <c r="M4676" t="s">
        <v>3516</v>
      </c>
    </row>
    <row r="4677" spans="12:13">
      <c r="L4677" s="69">
        <v>922440</v>
      </c>
      <c r="M4677" t="s">
        <v>3517</v>
      </c>
    </row>
    <row r="4678" spans="12:13">
      <c r="L4678" s="69">
        <v>922441</v>
      </c>
      <c r="M4678" t="s">
        <v>3517</v>
      </c>
    </row>
    <row r="4679" spans="12:13">
      <c r="L4679" s="69">
        <v>922450</v>
      </c>
      <c r="M4679" t="s">
        <v>3518</v>
      </c>
    </row>
    <row r="4680" spans="12:13">
      <c r="L4680" s="69">
        <v>922451</v>
      </c>
      <c r="M4680" t="s">
        <v>3518</v>
      </c>
    </row>
    <row r="4681" spans="12:13">
      <c r="L4681" s="69">
        <v>922460</v>
      </c>
      <c r="M4681" t="s">
        <v>3519</v>
      </c>
    </row>
    <row r="4682" spans="12:13">
      <c r="L4682" s="69">
        <v>922461</v>
      </c>
      <c r="M4682" t="s">
        <v>3520</v>
      </c>
    </row>
    <row r="4683" spans="12:13">
      <c r="L4683" s="69">
        <v>922462</v>
      </c>
      <c r="M4683" t="s">
        <v>3521</v>
      </c>
    </row>
    <row r="4684" spans="12:13">
      <c r="L4684" s="69">
        <v>922465</v>
      </c>
      <c r="M4684" t="s">
        <v>3522</v>
      </c>
    </row>
    <row r="4685" spans="12:13">
      <c r="L4685" s="69">
        <v>922500</v>
      </c>
      <c r="M4685" t="s">
        <v>3523</v>
      </c>
    </row>
    <row r="4686" spans="12:13">
      <c r="L4686" s="69">
        <v>922520</v>
      </c>
      <c r="M4686" t="s">
        <v>3524</v>
      </c>
    </row>
    <row r="4687" spans="12:13">
      <c r="L4687" s="69">
        <v>922521</v>
      </c>
      <c r="M4687" t="s">
        <v>3524</v>
      </c>
    </row>
    <row r="4688" spans="12:13">
      <c r="L4688" s="69">
        <v>922530</v>
      </c>
      <c r="M4688" t="s">
        <v>3525</v>
      </c>
    </row>
    <row r="4689" spans="12:13">
      <c r="L4689" s="69">
        <v>922531</v>
      </c>
      <c r="M4689" t="s">
        <v>3525</v>
      </c>
    </row>
    <row r="4690" spans="12:13">
      <c r="L4690" s="69">
        <v>922540</v>
      </c>
      <c r="M4690" t="s">
        <v>3526</v>
      </c>
    </row>
    <row r="4691" spans="12:13">
      <c r="L4691" s="69">
        <v>922541</v>
      </c>
      <c r="M4691" t="s">
        <v>3526</v>
      </c>
    </row>
    <row r="4692" spans="12:13">
      <c r="L4692" s="69">
        <v>922550</v>
      </c>
      <c r="M4692" t="s">
        <v>3527</v>
      </c>
    </row>
    <row r="4693" spans="12:13">
      <c r="L4693" s="69">
        <v>922551</v>
      </c>
      <c r="M4693" t="s">
        <v>3527</v>
      </c>
    </row>
    <row r="4694" spans="12:13">
      <c r="L4694" s="69">
        <v>922560</v>
      </c>
      <c r="M4694" t="s">
        <v>3528</v>
      </c>
    </row>
    <row r="4695" spans="12:13">
      <c r="L4695" s="69">
        <v>922561</v>
      </c>
      <c r="M4695" t="s">
        <v>3529</v>
      </c>
    </row>
    <row r="4696" spans="12:13">
      <c r="L4696" s="69">
        <v>922562</v>
      </c>
      <c r="M4696" t="s">
        <v>3530</v>
      </c>
    </row>
    <row r="4697" spans="12:13">
      <c r="L4697" s="69">
        <v>922565</v>
      </c>
      <c r="M4697" t="s">
        <v>3531</v>
      </c>
    </row>
    <row r="4698" spans="12:13">
      <c r="L4698" s="69">
        <v>922600</v>
      </c>
      <c r="M4698" t="s">
        <v>3532</v>
      </c>
    </row>
    <row r="4699" spans="12:13">
      <c r="L4699" s="69">
        <v>922620</v>
      </c>
      <c r="M4699" t="s">
        <v>3533</v>
      </c>
    </row>
    <row r="4700" spans="12:13">
      <c r="L4700" s="69">
        <v>922621</v>
      </c>
      <c r="M4700" t="s">
        <v>3533</v>
      </c>
    </row>
    <row r="4701" spans="12:13">
      <c r="L4701" s="69">
        <v>922630</v>
      </c>
      <c r="M4701" t="s">
        <v>3534</v>
      </c>
    </row>
    <row r="4702" spans="12:13">
      <c r="L4702" s="69">
        <v>922631</v>
      </c>
      <c r="M4702" t="s">
        <v>3534</v>
      </c>
    </row>
    <row r="4703" spans="12:13">
      <c r="L4703" s="69">
        <v>922640</v>
      </c>
      <c r="M4703" t="s">
        <v>3535</v>
      </c>
    </row>
    <row r="4704" spans="12:13">
      <c r="L4704" s="69">
        <v>922641</v>
      </c>
      <c r="M4704" t="s">
        <v>3535</v>
      </c>
    </row>
    <row r="4705" spans="12:13">
      <c r="L4705" s="69">
        <v>922650</v>
      </c>
      <c r="M4705" t="s">
        <v>3536</v>
      </c>
    </row>
    <row r="4706" spans="12:13">
      <c r="L4706" s="69">
        <v>922651</v>
      </c>
      <c r="M4706" t="s">
        <v>3536</v>
      </c>
    </row>
    <row r="4707" spans="12:13">
      <c r="L4707" s="69">
        <v>922660</v>
      </c>
      <c r="M4707" t="s">
        <v>3537</v>
      </c>
    </row>
    <row r="4708" spans="12:13">
      <c r="L4708" s="69">
        <v>922661</v>
      </c>
      <c r="M4708" t="s">
        <v>3538</v>
      </c>
    </row>
    <row r="4709" spans="12:13">
      <c r="L4709" s="69">
        <v>922662</v>
      </c>
      <c r="M4709" t="s">
        <v>3539</v>
      </c>
    </row>
    <row r="4710" spans="12:13">
      <c r="L4710" s="69">
        <v>922665</v>
      </c>
      <c r="M4710" t="s">
        <v>3540</v>
      </c>
    </row>
    <row r="4711" spans="12:13">
      <c r="L4711" s="69">
        <v>922700</v>
      </c>
      <c r="M4711" t="s">
        <v>3541</v>
      </c>
    </row>
    <row r="4712" spans="12:13">
      <c r="L4712" s="69">
        <v>922720</v>
      </c>
      <c r="M4712" t="s">
        <v>3542</v>
      </c>
    </row>
    <row r="4713" spans="12:13">
      <c r="L4713" s="69">
        <v>922721</v>
      </c>
      <c r="M4713" t="s">
        <v>3542</v>
      </c>
    </row>
    <row r="4714" spans="12:13">
      <c r="L4714" s="69">
        <v>922730</v>
      </c>
      <c r="M4714" t="s">
        <v>3543</v>
      </c>
    </row>
    <row r="4715" spans="12:13">
      <c r="L4715" s="69">
        <v>922731</v>
      </c>
      <c r="M4715" t="s">
        <v>3544</v>
      </c>
    </row>
    <row r="4716" spans="12:13">
      <c r="L4716" s="69">
        <v>922732</v>
      </c>
      <c r="M4716" t="s">
        <v>3545</v>
      </c>
    </row>
    <row r="4717" spans="12:13">
      <c r="L4717" s="69">
        <v>922740</v>
      </c>
      <c r="M4717" t="s">
        <v>3546</v>
      </c>
    </row>
    <row r="4718" spans="12:13">
      <c r="L4718" s="69">
        <v>922741</v>
      </c>
      <c r="M4718" t="s">
        <v>3546</v>
      </c>
    </row>
    <row r="4719" spans="12:13">
      <c r="L4719" s="69">
        <v>922750</v>
      </c>
      <c r="M4719" t="s">
        <v>3547</v>
      </c>
    </row>
    <row r="4720" spans="12:13">
      <c r="L4720" s="69">
        <v>922751</v>
      </c>
      <c r="M4720" t="s">
        <v>3547</v>
      </c>
    </row>
    <row r="4721" spans="12:13">
      <c r="L4721" s="69">
        <v>922760</v>
      </c>
      <c r="M4721" t="s">
        <v>3548</v>
      </c>
    </row>
    <row r="4722" spans="12:13">
      <c r="L4722" s="69">
        <v>922761</v>
      </c>
      <c r="M4722" t="s">
        <v>3549</v>
      </c>
    </row>
    <row r="4723" spans="12:13">
      <c r="L4723" s="69">
        <v>922762</v>
      </c>
      <c r="M4723" t="s">
        <v>3550</v>
      </c>
    </row>
    <row r="4724" spans="12:13">
      <c r="L4724" s="69">
        <v>922765</v>
      </c>
      <c r="M4724" t="s">
        <v>3551</v>
      </c>
    </row>
    <row r="4725" spans="12:13">
      <c r="L4725" s="69">
        <v>922800</v>
      </c>
      <c r="M4725" t="s">
        <v>1213</v>
      </c>
    </row>
    <row r="4726" spans="12:13">
      <c r="L4726" s="69">
        <v>922810</v>
      </c>
      <c r="M4726" t="s">
        <v>1213</v>
      </c>
    </row>
    <row r="4727" spans="12:13">
      <c r="L4727" s="69">
        <v>922811</v>
      </c>
      <c r="M4727" t="s">
        <v>1213</v>
      </c>
    </row>
    <row r="4728" spans="12:13">
      <c r="L4728" s="69">
        <v>990000</v>
      </c>
      <c r="M4728" t="s">
        <v>3552</v>
      </c>
    </row>
    <row r="4729" spans="12:13">
      <c r="L4729" s="69">
        <v>999000</v>
      </c>
      <c r="M4729" t="s">
        <v>3552</v>
      </c>
    </row>
    <row r="4730" spans="12:13">
      <c r="L4730" s="69">
        <v>999900</v>
      </c>
      <c r="M4730" t="s">
        <v>3552</v>
      </c>
    </row>
    <row r="4731" spans="12:13">
      <c r="L4731" s="69">
        <v>999990</v>
      </c>
      <c r="M4731" t="s">
        <v>3552</v>
      </c>
    </row>
    <row r="4732" spans="12:13">
      <c r="L4732" s="69">
        <v>999999</v>
      </c>
      <c r="M4732" t="s">
        <v>3552</v>
      </c>
    </row>
  </sheetData>
  <autoFilter ref="L2:M4732"/>
  <mergeCells count="3">
    <mergeCell ref="A1:B1"/>
    <mergeCell ref="G1:H1"/>
    <mergeCell ref="L1:M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Рачун финансирања</vt:lpstr>
      <vt:lpstr>Приџ,прим vs Расх,изд</vt:lpstr>
      <vt:lpstr>Општи део - (6)</vt:lpstr>
      <vt:lpstr>Капитални расходи</vt:lpstr>
      <vt:lpstr>По основ. нам.</vt:lpstr>
      <vt:lpstr>Програмска</vt:lpstr>
      <vt:lpstr>Расх по функц. </vt:lpstr>
      <vt:lpstr>ПО КОРИСНИЦИМА</vt:lpstr>
      <vt:lpstr>Klasifikacije</vt:lpstr>
      <vt:lpstr>Sheet1</vt:lpstr>
      <vt:lpstr>ljkl</vt:lpstr>
      <vt:lpstr>Ukupno_funkcionalna</vt:lpstr>
      <vt:lpstr>Ukupno_izdaci</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LPA</dc:creator>
  <cp:lastModifiedBy>PCMJ</cp:lastModifiedBy>
  <cp:lastPrinted>2018-10-31T09:49:17Z</cp:lastPrinted>
  <dcterms:created xsi:type="dcterms:W3CDTF">2014-09-23T08:37:30Z</dcterms:created>
  <dcterms:modified xsi:type="dcterms:W3CDTF">2019-12-23T08:06:02Z</dcterms:modified>
</cp:coreProperties>
</file>